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departamento Gestion de la nformacion\2018\LE 2018\Cortes 2018\"/>
    </mc:Choice>
  </mc:AlternateContent>
  <xr:revisionPtr revIDLastSave="0" documentId="13_ncr:1_{BF6A23D2-4DBB-43B7-8CBC-E2BA8FE36F61}" xr6:coauthVersionLast="40" xr6:coauthVersionMax="40" xr10:uidLastSave="{00000000-0000-0000-0000-000000000000}"/>
  <bookViews>
    <workbookView xWindow="0" yWindow="0" windowWidth="20490" windowHeight="7245" tabRatio="910" xr2:uid="{00000000-000D-0000-FFFF-FFFF00000000}"/>
  </bookViews>
  <sheets>
    <sheet name="Introduccion" sheetId="12" r:id="rId1"/>
    <sheet name="1" sheetId="5" r:id="rId2"/>
    <sheet name="1.1" sheetId="4" r:id="rId3"/>
    <sheet name="1.2" sheetId="11" r:id="rId4"/>
    <sheet name="3.1 COMGES" sheetId="13" r:id="rId5"/>
    <sheet name="3.1 TOTAL" sheetId="22" r:id="rId6"/>
    <sheet name="3.2 Comges y Compromiso MINSAL" sheetId="25" r:id="rId7"/>
    <sheet name="3.2 TOTAL" sheetId="19" r:id="rId8"/>
    <sheet name="3.3 COMGES" sheetId="17" r:id="rId9"/>
    <sheet name="3.3 TOTAL" sheetId="23" r:id="rId10"/>
  </sheets>
  <definedNames>
    <definedName name="_xlnm._FilterDatabase" localSheetId="8" hidden="1">'3.3 COMGES'!#REF!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Z10" i="23" l="1"/>
  <c r="AZ11" i="23"/>
  <c r="AZ12" i="23"/>
  <c r="AZ13" i="23"/>
  <c r="BA13" i="23" s="1"/>
  <c r="AZ14" i="23"/>
  <c r="AZ15" i="23"/>
  <c r="AZ16" i="23"/>
  <c r="AZ9" i="23"/>
  <c r="AP10" i="23"/>
  <c r="AP11" i="23"/>
  <c r="AP12" i="23"/>
  <c r="AP13" i="23"/>
  <c r="AQ13" i="23" s="1"/>
  <c r="AP14" i="23"/>
  <c r="AP15" i="23"/>
  <c r="AP16" i="23"/>
  <c r="AP17" i="23"/>
  <c r="AQ17" i="23" s="1"/>
  <c r="AP9" i="23"/>
  <c r="AQ9" i="23" s="1"/>
  <c r="AG10" i="23"/>
  <c r="AG11" i="23"/>
  <c r="AG12" i="23"/>
  <c r="AH12" i="23" s="1"/>
  <c r="AG13" i="23"/>
  <c r="AG14" i="23"/>
  <c r="AG15" i="23"/>
  <c r="AG16" i="23"/>
  <c r="AH16" i="23" s="1"/>
  <c r="AG17" i="23"/>
  <c r="AH17" i="23" s="1"/>
  <c r="AG9" i="23"/>
  <c r="X10" i="23"/>
  <c r="X11" i="23"/>
  <c r="X12" i="23"/>
  <c r="X13" i="23"/>
  <c r="X14" i="23"/>
  <c r="X15" i="23"/>
  <c r="X16" i="23"/>
  <c r="X17" i="23"/>
  <c r="X9" i="23"/>
  <c r="BA12" i="23" s="1"/>
  <c r="L10" i="23"/>
  <c r="L11" i="23"/>
  <c r="L12" i="23"/>
  <c r="L13" i="23"/>
  <c r="M13" i="23" s="1"/>
  <c r="L14" i="23"/>
  <c r="L15" i="23"/>
  <c r="L16" i="23"/>
  <c r="L17" i="23"/>
  <c r="L9" i="23"/>
  <c r="AQ16" i="23"/>
  <c r="AQ15" i="23"/>
  <c r="AQ14" i="23"/>
  <c r="AQ12" i="23"/>
  <c r="AQ11" i="23"/>
  <c r="AQ10" i="23"/>
  <c r="AH15" i="23"/>
  <c r="AH14" i="23"/>
  <c r="AH13" i="23"/>
  <c r="AH11" i="23"/>
  <c r="AH10" i="23"/>
  <c r="AH9" i="23"/>
  <c r="Y10" i="23"/>
  <c r="Y11" i="23"/>
  <c r="Y12" i="23"/>
  <c r="Y13" i="23"/>
  <c r="Y14" i="23"/>
  <c r="Y15" i="23"/>
  <c r="Y16" i="23"/>
  <c r="Y17" i="23"/>
  <c r="Y9" i="23"/>
  <c r="M16" i="23"/>
  <c r="M17" i="23"/>
  <c r="M9" i="23"/>
  <c r="M10" i="23"/>
  <c r="M11" i="23"/>
  <c r="M12" i="23"/>
  <c r="M14" i="23"/>
  <c r="M15" i="23"/>
  <c r="M6" i="23"/>
  <c r="M5" i="23"/>
  <c r="M4" i="23"/>
  <c r="M3" i="23"/>
  <c r="X37" i="17"/>
  <c r="Y37" i="17" s="1"/>
  <c r="W37" i="17"/>
  <c r="U38" i="17"/>
  <c r="U37" i="17"/>
  <c r="K5" i="22"/>
  <c r="K4" i="22"/>
  <c r="K3" i="22"/>
  <c r="K2" i="22"/>
  <c r="AE17" i="22"/>
  <c r="AF17" i="22" s="1"/>
  <c r="AN16" i="22"/>
  <c r="AO16" i="22" s="1"/>
  <c r="AN17" i="22"/>
  <c r="AO17" i="22"/>
  <c r="AY16" i="22"/>
  <c r="AZ16" i="22" s="1"/>
  <c r="AY17" i="22"/>
  <c r="AZ17" i="22"/>
  <c r="AZ9" i="22"/>
  <c r="AZ10" i="22"/>
  <c r="AZ11" i="22"/>
  <c r="AZ12" i="22"/>
  <c r="AZ13" i="22"/>
  <c r="AZ14" i="22"/>
  <c r="AZ15" i="22"/>
  <c r="AO9" i="22"/>
  <c r="AO10" i="22"/>
  <c r="AO11" i="22"/>
  <c r="AO12" i="22"/>
  <c r="AO13" i="22"/>
  <c r="AO14" i="22"/>
  <c r="AO15" i="22"/>
  <c r="AF9" i="22"/>
  <c r="AF10" i="22"/>
  <c r="AF11" i="22"/>
  <c r="AF12" i="22"/>
  <c r="AF13" i="22"/>
  <c r="AF14" i="22"/>
  <c r="AF15" i="22"/>
  <c r="AF16" i="22"/>
  <c r="AE16" i="22"/>
  <c r="U16" i="22"/>
  <c r="V16" i="22" s="1"/>
  <c r="V17" i="22"/>
  <c r="V9" i="22"/>
  <c r="V10" i="22"/>
  <c r="V11" i="22"/>
  <c r="V12" i="22"/>
  <c r="V13" i="22"/>
  <c r="V14" i="22"/>
  <c r="V15" i="22"/>
  <c r="K16" i="22"/>
  <c r="K17" i="22"/>
  <c r="K9" i="22"/>
  <c r="K10" i="22"/>
  <c r="K11" i="22"/>
  <c r="K12" i="22"/>
  <c r="K13" i="22"/>
  <c r="K14" i="22"/>
  <c r="K15" i="22"/>
  <c r="J16" i="22"/>
  <c r="I112" i="22"/>
  <c r="I113" i="22"/>
  <c r="I114" i="22"/>
  <c r="T140" i="22"/>
  <c r="T139" i="22"/>
  <c r="T138" i="22"/>
  <c r="T137" i="22"/>
  <c r="T136" i="22"/>
  <c r="T135" i="22"/>
  <c r="T134" i="22"/>
  <c r="T133" i="22"/>
  <c r="T132" i="22"/>
  <c r="T131" i="22"/>
  <c r="T130" i="22"/>
  <c r="T129" i="22"/>
  <c r="T128" i="22"/>
  <c r="T127" i="22"/>
  <c r="T126" i="22"/>
  <c r="T125" i="22"/>
  <c r="T124" i="22"/>
  <c r="T123" i="22"/>
  <c r="T122" i="22"/>
  <c r="T121" i="22"/>
  <c r="T120" i="22"/>
  <c r="T119" i="22"/>
  <c r="T118" i="22"/>
  <c r="T117" i="22"/>
  <c r="T116" i="22"/>
  <c r="T115" i="22"/>
  <c r="T114" i="22"/>
  <c r="T113" i="22"/>
  <c r="T112" i="22"/>
  <c r="T111" i="22"/>
  <c r="I111" i="22"/>
  <c r="T110" i="22"/>
  <c r="I110" i="22"/>
  <c r="T109" i="22"/>
  <c r="I109" i="22"/>
  <c r="T108" i="22"/>
  <c r="I108" i="22"/>
  <c r="T107" i="22"/>
  <c r="I107" i="22"/>
  <c r="T106" i="22"/>
  <c r="I106" i="22"/>
  <c r="AX105" i="22"/>
  <c r="T105" i="22"/>
  <c r="I105" i="22"/>
  <c r="AX104" i="22"/>
  <c r="T104" i="22"/>
  <c r="H104" i="22"/>
  <c r="G104" i="22"/>
  <c r="F104" i="22"/>
  <c r="E104" i="22"/>
  <c r="D104" i="22"/>
  <c r="C104" i="22"/>
  <c r="B104" i="22"/>
  <c r="AW103" i="22"/>
  <c r="AV103" i="22"/>
  <c r="AU103" i="22"/>
  <c r="T103" i="22"/>
  <c r="I103" i="22"/>
  <c r="AX102" i="22"/>
  <c r="T102" i="22"/>
  <c r="I102" i="22"/>
  <c r="AX101" i="22"/>
  <c r="T101" i="22"/>
  <c r="I101" i="22"/>
  <c r="AX100" i="22"/>
  <c r="T100" i="22"/>
  <c r="I100" i="22"/>
  <c r="AW99" i="22"/>
  <c r="AV99" i="22"/>
  <c r="AU99" i="22"/>
  <c r="T99" i="22"/>
  <c r="I99" i="22"/>
  <c r="AX98" i="22"/>
  <c r="T98" i="22"/>
  <c r="I98" i="22"/>
  <c r="AX97" i="22"/>
  <c r="T97" i="22"/>
  <c r="T96" i="22" s="1"/>
  <c r="I97" i="22"/>
  <c r="AW96" i="22"/>
  <c r="AV96" i="22"/>
  <c r="AU96" i="22"/>
  <c r="AX96" i="22" s="1"/>
  <c r="S96" i="22"/>
  <c r="R96" i="22"/>
  <c r="Q96" i="22"/>
  <c r="P96" i="22"/>
  <c r="O96" i="22"/>
  <c r="N96" i="22"/>
  <c r="I96" i="22"/>
  <c r="AX95" i="22"/>
  <c r="T95" i="22"/>
  <c r="I95" i="22"/>
  <c r="AX94" i="22"/>
  <c r="T94" i="22"/>
  <c r="I94" i="22"/>
  <c r="AX93" i="22"/>
  <c r="T93" i="22"/>
  <c r="I93" i="22"/>
  <c r="AX92" i="22"/>
  <c r="T92" i="22"/>
  <c r="I92" i="22"/>
  <c r="AX91" i="22"/>
  <c r="T91" i="22"/>
  <c r="I91" i="22"/>
  <c r="AX90" i="22"/>
  <c r="T90" i="22"/>
  <c r="I90" i="22"/>
  <c r="AX89" i="22"/>
  <c r="T89" i="22"/>
  <c r="I89" i="22"/>
  <c r="AX88" i="22"/>
  <c r="T88" i="22"/>
  <c r="I88" i="22"/>
  <c r="AX87" i="22"/>
  <c r="T87" i="22"/>
  <c r="I87" i="22"/>
  <c r="AX86" i="22"/>
  <c r="T86" i="22"/>
  <c r="I86" i="22"/>
  <c r="AW85" i="22"/>
  <c r="AV85" i="22"/>
  <c r="AU85" i="22"/>
  <c r="T85" i="22"/>
  <c r="I85" i="22"/>
  <c r="AX84" i="22"/>
  <c r="T84" i="22"/>
  <c r="I84" i="22"/>
  <c r="AX83" i="22"/>
  <c r="T83" i="22"/>
  <c r="H83" i="22"/>
  <c r="G83" i="22"/>
  <c r="F83" i="22"/>
  <c r="E83" i="22"/>
  <c r="D83" i="22"/>
  <c r="C83" i="22"/>
  <c r="B83" i="22"/>
  <c r="AW82" i="22"/>
  <c r="AV82" i="22"/>
  <c r="AU82" i="22"/>
  <c r="T82" i="22"/>
  <c r="I82" i="22"/>
  <c r="AX81" i="22"/>
  <c r="T81" i="22"/>
  <c r="I81" i="22"/>
  <c r="AX80" i="22"/>
  <c r="T80" i="22"/>
  <c r="I80" i="22"/>
  <c r="AX79" i="22"/>
  <c r="T79" i="22"/>
  <c r="I79" i="22"/>
  <c r="AX78" i="22"/>
  <c r="T78" i="22"/>
  <c r="I78" i="22"/>
  <c r="AX77" i="22"/>
  <c r="T77" i="22"/>
  <c r="I77" i="22"/>
  <c r="AX76" i="22"/>
  <c r="T76" i="22"/>
  <c r="I76" i="22"/>
  <c r="AX75" i="22"/>
  <c r="T75" i="22"/>
  <c r="I75" i="22"/>
  <c r="AX74" i="22"/>
  <c r="T74" i="22"/>
  <c r="I74" i="22"/>
  <c r="AX73" i="22"/>
  <c r="T73" i="22"/>
  <c r="H73" i="22"/>
  <c r="G73" i="22"/>
  <c r="F73" i="22"/>
  <c r="E73" i="22"/>
  <c r="D73" i="22"/>
  <c r="C73" i="22"/>
  <c r="B73" i="22"/>
  <c r="AX72" i="22"/>
  <c r="T72" i="22"/>
  <c r="I72" i="22"/>
  <c r="AX71" i="22"/>
  <c r="T71" i="22"/>
  <c r="I71" i="22"/>
  <c r="AX70" i="22"/>
  <c r="T70" i="22"/>
  <c r="I70" i="22"/>
  <c r="AX69" i="22"/>
  <c r="T69" i="22"/>
  <c r="I69" i="22"/>
  <c r="AX68" i="22"/>
  <c r="T68" i="22"/>
  <c r="I68" i="22"/>
  <c r="AX67" i="22"/>
  <c r="T67" i="22"/>
  <c r="I67" i="22"/>
  <c r="AX66" i="22"/>
  <c r="T66" i="22"/>
  <c r="T64" i="22" s="1"/>
  <c r="I66" i="22"/>
  <c r="AX65" i="22"/>
  <c r="T65" i="22"/>
  <c r="I65" i="22"/>
  <c r="AX64" i="22"/>
  <c r="S64" i="22"/>
  <c r="R64" i="22"/>
  <c r="Q64" i="22"/>
  <c r="P64" i="22"/>
  <c r="O64" i="22"/>
  <c r="N64" i="22"/>
  <c r="I64" i="22"/>
  <c r="AX63" i="22"/>
  <c r="T63" i="22"/>
  <c r="I63" i="22"/>
  <c r="AX62" i="22"/>
  <c r="T62" i="22"/>
  <c r="I62" i="22"/>
  <c r="AX61" i="22"/>
  <c r="T61" i="22"/>
  <c r="I61" i="22"/>
  <c r="AX60" i="22"/>
  <c r="T60" i="22"/>
  <c r="I60" i="22"/>
  <c r="AX59" i="22"/>
  <c r="T59" i="22"/>
  <c r="I59" i="22"/>
  <c r="AW58" i="22"/>
  <c r="AV58" i="22"/>
  <c r="AU58" i="22"/>
  <c r="T58" i="22"/>
  <c r="I58" i="22"/>
  <c r="AX57" i="22"/>
  <c r="T57" i="22"/>
  <c r="I57" i="22"/>
  <c r="AX56" i="22"/>
  <c r="T56" i="22"/>
  <c r="I56" i="22"/>
  <c r="AX55" i="22"/>
  <c r="T55" i="22"/>
  <c r="I55" i="22"/>
  <c r="AW54" i="22"/>
  <c r="AV54" i="22"/>
  <c r="AU54" i="22"/>
  <c r="T54" i="22"/>
  <c r="I54" i="22"/>
  <c r="AX53" i="22"/>
  <c r="T53" i="22"/>
  <c r="I53" i="22"/>
  <c r="AW52" i="22"/>
  <c r="AV52" i="22"/>
  <c r="AU52" i="22"/>
  <c r="T52" i="22"/>
  <c r="I52" i="22"/>
  <c r="AX51" i="22"/>
  <c r="T51" i="22"/>
  <c r="I51" i="22"/>
  <c r="AX50" i="22"/>
  <c r="T50" i="22"/>
  <c r="I50" i="22"/>
  <c r="AX49" i="22"/>
  <c r="T49" i="22"/>
  <c r="I49" i="22"/>
  <c r="AX48" i="22"/>
  <c r="T48" i="22"/>
  <c r="I48" i="22"/>
  <c r="AX47" i="22"/>
  <c r="T47" i="22"/>
  <c r="I47" i="22"/>
  <c r="AX46" i="22"/>
  <c r="T46" i="22"/>
  <c r="I46" i="22"/>
  <c r="AX45" i="22"/>
  <c r="AM45" i="22"/>
  <c r="T45" i="22"/>
  <c r="I45" i="22"/>
  <c r="AX44" i="22"/>
  <c r="AM44" i="22"/>
  <c r="AC44" i="22"/>
  <c r="AB44" i="22"/>
  <c r="AA44" i="22"/>
  <c r="Z44" i="22"/>
  <c r="Y44" i="22"/>
  <c r="X44" i="22"/>
  <c r="T44" i="22"/>
  <c r="I44" i="22"/>
  <c r="AX43" i="22"/>
  <c r="AL43" i="22"/>
  <c r="AK43" i="22"/>
  <c r="AJ43" i="22"/>
  <c r="AD43" i="22"/>
  <c r="T43" i="22"/>
  <c r="I43" i="22"/>
  <c r="AX42" i="22"/>
  <c r="AM42" i="22"/>
  <c r="AD42" i="22"/>
  <c r="T42" i="22"/>
  <c r="I42" i="22"/>
  <c r="AX41" i="22"/>
  <c r="AM41" i="22"/>
  <c r="AD41" i="22"/>
  <c r="T41" i="22"/>
  <c r="I41" i="22"/>
  <c r="AX40" i="22"/>
  <c r="AM40" i="22"/>
  <c r="AD40" i="22"/>
  <c r="T40" i="22"/>
  <c r="I40" i="22"/>
  <c r="AX39" i="22"/>
  <c r="AL39" i="22"/>
  <c r="AK39" i="22"/>
  <c r="AJ39" i="22"/>
  <c r="AD39" i="22"/>
  <c r="T39" i="22"/>
  <c r="I39" i="22"/>
  <c r="AX38" i="22"/>
  <c r="AM38" i="22"/>
  <c r="AD38" i="22"/>
  <c r="T38" i="22"/>
  <c r="I38" i="22"/>
  <c r="AX37" i="22"/>
  <c r="AM37" i="22"/>
  <c r="AD37" i="22"/>
  <c r="T37" i="22"/>
  <c r="I37" i="22"/>
  <c r="AX36" i="22"/>
  <c r="AL36" i="22"/>
  <c r="AK36" i="22"/>
  <c r="AJ36" i="22"/>
  <c r="AD36" i="22"/>
  <c r="T36" i="22"/>
  <c r="I36" i="22"/>
  <c r="AX35" i="22"/>
  <c r="AM35" i="22"/>
  <c r="AD35" i="22"/>
  <c r="T35" i="22"/>
  <c r="I35" i="22"/>
  <c r="AX34" i="22"/>
  <c r="AM34" i="22"/>
  <c r="AD34" i="22"/>
  <c r="T34" i="22"/>
  <c r="I34" i="22"/>
  <c r="AX33" i="22"/>
  <c r="AL33" i="22"/>
  <c r="AK33" i="22"/>
  <c r="AJ33" i="22"/>
  <c r="AD33" i="22"/>
  <c r="T33" i="22"/>
  <c r="I33" i="22"/>
  <c r="AX32" i="22"/>
  <c r="AM32" i="22"/>
  <c r="AD32" i="22"/>
  <c r="T32" i="22"/>
  <c r="I32" i="22"/>
  <c r="AX31" i="22"/>
  <c r="AM31" i="22"/>
  <c r="AD31" i="22"/>
  <c r="T31" i="22"/>
  <c r="I31" i="22"/>
  <c r="AX30" i="22"/>
  <c r="AM30" i="22"/>
  <c r="AD30" i="22"/>
  <c r="T30" i="22"/>
  <c r="I30" i="22"/>
  <c r="AX29" i="22"/>
  <c r="AM29" i="22"/>
  <c r="AD29" i="22"/>
  <c r="T29" i="22"/>
  <c r="I29" i="22"/>
  <c r="AX28" i="22"/>
  <c r="AM28" i="22"/>
  <c r="AD28" i="22"/>
  <c r="T28" i="22"/>
  <c r="I28" i="22"/>
  <c r="AX27" i="22"/>
  <c r="AM27" i="22"/>
  <c r="AD27" i="22"/>
  <c r="T27" i="22"/>
  <c r="I27" i="22"/>
  <c r="AX26" i="22"/>
  <c r="AM26" i="22"/>
  <c r="AD26" i="22"/>
  <c r="T26" i="22"/>
  <c r="I26" i="22"/>
  <c r="AX25" i="22"/>
  <c r="AM25" i="22"/>
  <c r="AD25" i="22"/>
  <c r="T25" i="22"/>
  <c r="I25" i="22"/>
  <c r="AX24" i="22"/>
  <c r="AM24" i="22"/>
  <c r="AD24" i="22"/>
  <c r="T24" i="22"/>
  <c r="I24" i="22"/>
  <c r="AW23" i="22"/>
  <c r="AW22" i="22" s="1"/>
  <c r="AV23" i="22"/>
  <c r="AU23" i="22"/>
  <c r="AL23" i="22"/>
  <c r="AK23" i="22"/>
  <c r="AJ23" i="22"/>
  <c r="AC23" i="22"/>
  <c r="AC22" i="22" s="1"/>
  <c r="AB23" i="22"/>
  <c r="AB22" i="22" s="1"/>
  <c r="AA23" i="22"/>
  <c r="Z23" i="22"/>
  <c r="Y23" i="22"/>
  <c r="Y22" i="22" s="1"/>
  <c r="X23" i="22"/>
  <c r="X22" i="22" s="1"/>
  <c r="S23" i="22"/>
  <c r="S22" i="22" s="1"/>
  <c r="R23" i="22"/>
  <c r="Q23" i="22"/>
  <c r="P23" i="22"/>
  <c r="O23" i="22"/>
  <c r="O22" i="22" s="1"/>
  <c r="N23" i="22"/>
  <c r="I23" i="22"/>
  <c r="AA22" i="22"/>
  <c r="Z22" i="22"/>
  <c r="H22" i="22"/>
  <c r="G22" i="22"/>
  <c r="F22" i="22"/>
  <c r="AA37" i="13"/>
  <c r="Z37" i="13"/>
  <c r="Y37" i="13"/>
  <c r="Y35" i="13"/>
  <c r="Y31" i="13"/>
  <c r="Y29" i="13"/>
  <c r="Y27" i="13"/>
  <c r="Y25" i="13"/>
  <c r="BA10" i="23" l="1"/>
  <c r="BA14" i="23"/>
  <c r="BA11" i="23"/>
  <c r="BA17" i="23"/>
  <c r="BA16" i="23"/>
  <c r="BA9" i="23"/>
  <c r="BA15" i="23"/>
  <c r="AL22" i="22"/>
  <c r="AU22" i="22"/>
  <c r="T23" i="22"/>
  <c r="AK22" i="22"/>
  <c r="AM36" i="22"/>
  <c r="AV22" i="22"/>
  <c r="N22" i="22"/>
  <c r="R22" i="22"/>
  <c r="I83" i="22"/>
  <c r="AX52" i="22"/>
  <c r="AX54" i="22"/>
  <c r="P22" i="22"/>
  <c r="Q22" i="22"/>
  <c r="AM33" i="22"/>
  <c r="AM43" i="22"/>
  <c r="AX85" i="22"/>
  <c r="AY86" i="22" s="1"/>
  <c r="AX99" i="22"/>
  <c r="AD22" i="22"/>
  <c r="AX22" i="22"/>
  <c r="AK46" i="22"/>
  <c r="I73" i="22"/>
  <c r="J74" i="22" s="1"/>
  <c r="J88" i="22"/>
  <c r="J96" i="22"/>
  <c r="J102" i="22"/>
  <c r="AX23" i="22"/>
  <c r="AD44" i="22"/>
  <c r="AM39" i="22"/>
  <c r="AL46" i="22"/>
  <c r="J76" i="22"/>
  <c r="J80" i="22"/>
  <c r="AX82" i="22"/>
  <c r="J85" i="22"/>
  <c r="J87" i="22"/>
  <c r="J91" i="22"/>
  <c r="J95" i="22"/>
  <c r="J99" i="22"/>
  <c r="J101" i="22"/>
  <c r="AX103" i="22"/>
  <c r="C115" i="22"/>
  <c r="G115" i="22"/>
  <c r="AD23" i="22"/>
  <c r="J77" i="22"/>
  <c r="J81" i="22"/>
  <c r="J92" i="22"/>
  <c r="F115" i="22"/>
  <c r="I22" i="22"/>
  <c r="J37" i="22" s="1"/>
  <c r="AJ22" i="22"/>
  <c r="AM23" i="22"/>
  <c r="AX58" i="22"/>
  <c r="J75" i="22"/>
  <c r="J79" i="22"/>
  <c r="J84" i="22"/>
  <c r="J86" i="22"/>
  <c r="J90" i="22"/>
  <c r="J94" i="22"/>
  <c r="J98" i="22"/>
  <c r="J100" i="22"/>
  <c r="AV106" i="22"/>
  <c r="D115" i="22"/>
  <c r="H115" i="22"/>
  <c r="J78" i="22"/>
  <c r="J82" i="22"/>
  <c r="J89" i="22"/>
  <c r="J93" i="22"/>
  <c r="J97" i="22"/>
  <c r="J103" i="22"/>
  <c r="AW106" i="22"/>
  <c r="E115" i="22"/>
  <c r="AY24" i="22"/>
  <c r="AY104" i="22"/>
  <c r="AY59" i="22"/>
  <c r="AY83" i="22"/>
  <c r="AE23" i="22"/>
  <c r="AY53" i="22"/>
  <c r="AY55" i="22"/>
  <c r="AY97" i="22"/>
  <c r="AJ46" i="22"/>
  <c r="I104" i="22"/>
  <c r="J113" i="22" s="1"/>
  <c r="AU106" i="22"/>
  <c r="AS21" i="11"/>
  <c r="AS22" i="11"/>
  <c r="AS23" i="11"/>
  <c r="AS24" i="11"/>
  <c r="AS25" i="11"/>
  <c r="AS26" i="11"/>
  <c r="AS27" i="11"/>
  <c r="AS28" i="11"/>
  <c r="AS29" i="11"/>
  <c r="AS30" i="11"/>
  <c r="AS31" i="11"/>
  <c r="AS32" i="11"/>
  <c r="AS33" i="11"/>
  <c r="AS34" i="11"/>
  <c r="AS35" i="11"/>
  <c r="AS36" i="11"/>
  <c r="AS37" i="11"/>
  <c r="AS38" i="11"/>
  <c r="AS39" i="11"/>
  <c r="AS40" i="11"/>
  <c r="AS41" i="11"/>
  <c r="AS42" i="11"/>
  <c r="AS43" i="11"/>
  <c r="AS44" i="11"/>
  <c r="AS45" i="11"/>
  <c r="AS46" i="11"/>
  <c r="AS47" i="11"/>
  <c r="AS48" i="11"/>
  <c r="AS49" i="11"/>
  <c r="AS50" i="11"/>
  <c r="AS51" i="11"/>
  <c r="AS52" i="11"/>
  <c r="AS53" i="11"/>
  <c r="AS54" i="11"/>
  <c r="AS55" i="11"/>
  <c r="AS56" i="11"/>
  <c r="AS57" i="11"/>
  <c r="AS58" i="11"/>
  <c r="AS59" i="11"/>
  <c r="AS60" i="11"/>
  <c r="AS61" i="11"/>
  <c r="AS10" i="11"/>
  <c r="AS11" i="11"/>
  <c r="AS12" i="11"/>
  <c r="AS13" i="11"/>
  <c r="AS14" i="11"/>
  <c r="AS15" i="11"/>
  <c r="AS16" i="11"/>
  <c r="AS17" i="11"/>
  <c r="AS18" i="11"/>
  <c r="AS19" i="11"/>
  <c r="AS20" i="11"/>
  <c r="AS9" i="11"/>
  <c r="J72" i="22" l="1"/>
  <c r="AM22" i="22"/>
  <c r="J59" i="22"/>
  <c r="J55" i="22"/>
  <c r="AY100" i="22"/>
  <c r="T22" i="22"/>
  <c r="U65" i="22"/>
  <c r="U97" i="22"/>
  <c r="U24" i="22"/>
  <c r="AN37" i="22"/>
  <c r="AN24" i="22"/>
  <c r="AN44" i="22"/>
  <c r="J52" i="22"/>
  <c r="J31" i="22"/>
  <c r="J33" i="22"/>
  <c r="J38" i="22"/>
  <c r="J28" i="22"/>
  <c r="J24" i="22"/>
  <c r="J71" i="22"/>
  <c r="J65" i="22"/>
  <c r="J51" i="22"/>
  <c r="J48" i="22"/>
  <c r="J27" i="22"/>
  <c r="J66" i="22"/>
  <c r="J45" i="22"/>
  <c r="J34" i="22"/>
  <c r="J36" i="22"/>
  <c r="J29" i="22"/>
  <c r="J47" i="22"/>
  <c r="J62" i="22"/>
  <c r="J49" i="22"/>
  <c r="AX106" i="22"/>
  <c r="J70" i="22"/>
  <c r="AM46" i="22"/>
  <c r="J44" i="22"/>
  <c r="J56" i="22"/>
  <c r="J41" i="22"/>
  <c r="J60" i="22"/>
  <c r="J43" i="22"/>
  <c r="J23" i="22"/>
  <c r="J63" i="22"/>
  <c r="J40" i="22"/>
  <c r="J30" i="22"/>
  <c r="J64" i="22"/>
  <c r="J25" i="22"/>
  <c r="J42" i="22"/>
  <c r="J50" i="22"/>
  <c r="J61" i="22"/>
  <c r="J69" i="22"/>
  <c r="J67" i="22"/>
  <c r="J32" i="22"/>
  <c r="J68" i="22"/>
  <c r="J54" i="22"/>
  <c r="J39" i="22"/>
  <c r="J58" i="22"/>
  <c r="J35" i="22"/>
  <c r="J53" i="22"/>
  <c r="J57" i="22"/>
  <c r="J26" i="22"/>
  <c r="J46" i="22"/>
  <c r="J112" i="22"/>
  <c r="J114" i="22"/>
  <c r="J111" i="22"/>
  <c r="J107" i="22"/>
  <c r="J105" i="22"/>
  <c r="I115" i="22"/>
  <c r="J109" i="22"/>
  <c r="J106" i="22"/>
  <c r="J110" i="22"/>
  <c r="J108" i="22"/>
  <c r="K11" i="19"/>
  <c r="K12" i="19"/>
  <c r="K13" i="19"/>
  <c r="K14" i="19"/>
  <c r="K15" i="19"/>
  <c r="K16" i="19"/>
  <c r="K17" i="19"/>
  <c r="K10" i="19"/>
  <c r="V64" i="19"/>
  <c r="V62" i="19"/>
  <c r="V60" i="19"/>
  <c r="V58" i="19"/>
  <c r="V56" i="19"/>
  <c r="V54" i="19"/>
  <c r="V44" i="19"/>
  <c r="V34" i="19"/>
  <c r="V23" i="19"/>
  <c r="V11" i="19"/>
  <c r="H20" i="25"/>
  <c r="G20" i="25"/>
  <c r="F20" i="25"/>
  <c r="E20" i="25"/>
  <c r="D20" i="25"/>
  <c r="G19" i="25"/>
  <c r="F19" i="25"/>
  <c r="E19" i="25"/>
  <c r="D19" i="25"/>
  <c r="I18" i="25"/>
  <c r="I17" i="25"/>
  <c r="I16" i="25"/>
  <c r="I15" i="25"/>
  <c r="I14" i="25"/>
  <c r="E26" i="25"/>
  <c r="G26" i="25"/>
  <c r="J26" i="25"/>
  <c r="E27" i="25"/>
  <c r="G27" i="25"/>
  <c r="J27" i="25"/>
  <c r="E28" i="25"/>
  <c r="G28" i="25"/>
  <c r="J28" i="25"/>
  <c r="E29" i="25"/>
  <c r="G29" i="25"/>
  <c r="J29" i="25"/>
  <c r="E30" i="25"/>
  <c r="G30" i="25"/>
  <c r="J30" i="25"/>
  <c r="E35" i="25"/>
  <c r="C36" i="25"/>
  <c r="E36" i="25" s="1"/>
  <c r="E37" i="25"/>
  <c r="E38" i="25"/>
  <c r="C39" i="25"/>
  <c r="E39" i="25" s="1"/>
  <c r="E40" i="25"/>
  <c r="D48" i="25"/>
  <c r="I48" i="25" s="1"/>
  <c r="H48" i="25"/>
  <c r="J48" i="25" s="1"/>
  <c r="D49" i="25"/>
  <c r="I49" i="25" s="1"/>
  <c r="H49" i="25"/>
  <c r="J49" i="25" s="1"/>
  <c r="D50" i="25"/>
  <c r="I50" i="25" s="1"/>
  <c r="H50" i="25"/>
  <c r="J50" i="25" s="1"/>
  <c r="D51" i="25"/>
  <c r="I51" i="25" s="1"/>
  <c r="H51" i="25"/>
  <c r="J51" i="25" s="1"/>
  <c r="D52" i="25"/>
  <c r="I52" i="25" s="1"/>
  <c r="H52" i="25"/>
  <c r="J52" i="25" s="1"/>
  <c r="D53" i="25"/>
  <c r="I53" i="25" s="1"/>
  <c r="H53" i="25"/>
  <c r="J53" i="25" s="1"/>
  <c r="AN34" i="22" l="1"/>
  <c r="AN40" i="22"/>
  <c r="K23" i="22"/>
  <c r="K74" i="22"/>
  <c r="K84" i="22"/>
  <c r="K105" i="22"/>
  <c r="I20" i="25"/>
  <c r="I19" i="25"/>
  <c r="AT10" i="11"/>
  <c r="K9" i="23" l="1"/>
  <c r="L21" i="23"/>
  <c r="L22" i="23"/>
  <c r="L23" i="23"/>
  <c r="L24" i="23"/>
  <c r="L25" i="23"/>
  <c r="L26" i="23"/>
  <c r="L27" i="23"/>
  <c r="L28" i="23"/>
  <c r="L29" i="23"/>
  <c r="L30" i="23"/>
  <c r="L31" i="23"/>
  <c r="L32" i="23"/>
  <c r="L33" i="23"/>
  <c r="L34" i="23"/>
  <c r="L35" i="23"/>
  <c r="L36" i="23"/>
  <c r="L37" i="23"/>
  <c r="L38" i="23"/>
  <c r="L39" i="23"/>
  <c r="L40" i="23"/>
  <c r="L41" i="23"/>
  <c r="L42" i="23"/>
  <c r="X45" i="23"/>
  <c r="X21" i="23"/>
  <c r="X22" i="23"/>
  <c r="X23" i="23"/>
  <c r="X24" i="23"/>
  <c r="X25" i="23"/>
  <c r="X26" i="23"/>
  <c r="X27" i="23"/>
  <c r="X28" i="23"/>
  <c r="X29" i="23"/>
  <c r="X30" i="23"/>
  <c r="X31" i="23"/>
  <c r="X32" i="23"/>
  <c r="X33" i="23"/>
  <c r="X34" i="23"/>
  <c r="X35" i="23"/>
  <c r="X36" i="23"/>
  <c r="X37" i="23"/>
  <c r="X38" i="23"/>
  <c r="X39" i="23"/>
  <c r="X40" i="23"/>
  <c r="X41" i="23"/>
  <c r="X42" i="23"/>
  <c r="X43" i="23"/>
  <c r="X44" i="23"/>
  <c r="AG21" i="23"/>
  <c r="AG22" i="23"/>
  <c r="AG23" i="23"/>
  <c r="AG24" i="23"/>
  <c r="AG25" i="23"/>
  <c r="AG26" i="23"/>
  <c r="AG27" i="23"/>
  <c r="AZ17" i="23"/>
  <c r="AZ21" i="23"/>
  <c r="AZ22" i="23"/>
  <c r="AZ23" i="23"/>
  <c r="AZ24" i="23"/>
  <c r="AZ25" i="23"/>
  <c r="AZ26" i="23"/>
  <c r="AZ27" i="23"/>
  <c r="AZ28" i="23"/>
  <c r="AZ29" i="23"/>
  <c r="AZ30" i="23"/>
  <c r="AZ31" i="23"/>
  <c r="AZ32" i="23"/>
  <c r="AZ33" i="23"/>
  <c r="AZ34" i="23"/>
  <c r="AZ35" i="23"/>
  <c r="AZ36" i="23"/>
  <c r="AZ37" i="23"/>
  <c r="AZ38" i="23"/>
  <c r="AZ39" i="23"/>
  <c r="AZ40" i="23"/>
  <c r="AZ41" i="23"/>
  <c r="AZ42" i="23"/>
  <c r="AZ43" i="23"/>
  <c r="AZ44" i="23"/>
  <c r="AZ45" i="23"/>
  <c r="AZ46" i="23"/>
  <c r="AZ47" i="23"/>
  <c r="AZ48" i="23"/>
  <c r="AZ49" i="23"/>
  <c r="AZ50" i="23"/>
  <c r="AZ51" i="23"/>
  <c r="AZ52" i="23"/>
  <c r="AZ53" i="23"/>
  <c r="AE15" i="22" l="1"/>
  <c r="U10" i="22"/>
  <c r="U9" i="22"/>
  <c r="AY10" i="22"/>
  <c r="AY11" i="22"/>
  <c r="AY12" i="22"/>
  <c r="AY13" i="22"/>
  <c r="AY14" i="22"/>
  <c r="AY15" i="22"/>
  <c r="AY9" i="22"/>
  <c r="AN9" i="22"/>
  <c r="AE11" i="22"/>
  <c r="AE12" i="22"/>
  <c r="AE13" i="22"/>
  <c r="AE14" i="22"/>
  <c r="AE9" i="22"/>
  <c r="AE10" i="22"/>
  <c r="U11" i="22"/>
  <c r="U12" i="22"/>
  <c r="U13" i="22"/>
  <c r="U14" i="22"/>
  <c r="U15" i="22"/>
  <c r="J10" i="22"/>
  <c r="J11" i="22"/>
  <c r="J12" i="22"/>
  <c r="J13" i="22"/>
  <c r="J14" i="22"/>
  <c r="J15" i="22"/>
  <c r="J9" i="22"/>
  <c r="AN10" i="22"/>
  <c r="AN11" i="22"/>
  <c r="AN12" i="22"/>
  <c r="AN13" i="22"/>
  <c r="AN14" i="22"/>
  <c r="AN15" i="22"/>
  <c r="AM25" i="11" l="1"/>
  <c r="AM26" i="11"/>
  <c r="AM27" i="11"/>
  <c r="AM28" i="11"/>
  <c r="AM29" i="11"/>
  <c r="AM30" i="11"/>
  <c r="AM31" i="11"/>
  <c r="AM32" i="11"/>
  <c r="AM33" i="11"/>
  <c r="AM34" i="11"/>
  <c r="AM35" i="11"/>
  <c r="AM36" i="11"/>
  <c r="AM37" i="11"/>
  <c r="AM38" i="11"/>
  <c r="AM39" i="11"/>
  <c r="AM40" i="11"/>
  <c r="AM41" i="11"/>
  <c r="AM42" i="11"/>
  <c r="AM43" i="11"/>
  <c r="AM44" i="11"/>
  <c r="AM45" i="11"/>
  <c r="AM46" i="11"/>
  <c r="AM47" i="11"/>
  <c r="AM48" i="11"/>
  <c r="AM49" i="11"/>
  <c r="AM50" i="11"/>
  <c r="AM51" i="11"/>
  <c r="AM52" i="11"/>
  <c r="AM53" i="11"/>
  <c r="AM54" i="11"/>
  <c r="AM55" i="11"/>
  <c r="AM56" i="11"/>
  <c r="AM57" i="11"/>
  <c r="AM58" i="11"/>
  <c r="AM59" i="11"/>
  <c r="AM60" i="11"/>
  <c r="AM61" i="11"/>
  <c r="AM62" i="11"/>
  <c r="AM63" i="11"/>
  <c r="AM64" i="11"/>
  <c r="AM65" i="11"/>
  <c r="AM10" i="11"/>
  <c r="AM11" i="11"/>
  <c r="AM12" i="11"/>
  <c r="AN10" i="11" s="1"/>
  <c r="AM13" i="11"/>
  <c r="AM14" i="11"/>
  <c r="AM15" i="11"/>
  <c r="AM16" i="11"/>
  <c r="AM17" i="11"/>
  <c r="AM18" i="11"/>
  <c r="AM19" i="11"/>
  <c r="AM20" i="11"/>
  <c r="AM21" i="11"/>
  <c r="AM22" i="11"/>
  <c r="AM23" i="11"/>
  <c r="AM24" i="11"/>
  <c r="AM9" i="11"/>
  <c r="AY15" i="23" l="1"/>
  <c r="AO12" i="23"/>
  <c r="AO13" i="23"/>
  <c r="AO14" i="23"/>
  <c r="AO15" i="23"/>
  <c r="AF15" i="23"/>
  <c r="W15" i="23"/>
  <c r="K15" i="23"/>
  <c r="U35" i="17"/>
  <c r="U36" i="17" l="1"/>
  <c r="I17" i="22" l="1"/>
  <c r="I15" i="22"/>
  <c r="I14" i="22"/>
  <c r="I13" i="22"/>
  <c r="I12" i="22"/>
  <c r="I11" i="22"/>
  <c r="I10" i="22"/>
  <c r="T14" i="22"/>
  <c r="T13" i="22"/>
  <c r="T12" i="22"/>
  <c r="T11" i="22"/>
  <c r="T10" i="22"/>
  <c r="T9" i="22"/>
  <c r="AM15" i="22"/>
  <c r="AX15" i="22"/>
  <c r="AD15" i="22" l="1"/>
  <c r="T15" i="22" l="1"/>
  <c r="AX9" i="22"/>
  <c r="AM9" i="22"/>
  <c r="I9" i="22"/>
  <c r="W36" i="13" l="1"/>
  <c r="W35" i="13"/>
  <c r="AG11" i="11" l="1"/>
  <c r="AG12" i="11"/>
  <c r="AG13" i="11"/>
  <c r="AG14" i="11"/>
  <c r="AG15" i="11"/>
  <c r="AG16" i="11"/>
  <c r="AG17" i="11"/>
  <c r="AG18" i="11"/>
  <c r="AG19" i="11"/>
  <c r="AG20" i="11"/>
  <c r="AG21" i="11"/>
  <c r="AG22" i="11"/>
  <c r="AG23" i="11"/>
  <c r="AG24" i="11"/>
  <c r="AG25" i="11"/>
  <c r="AG26" i="11"/>
  <c r="AG27" i="11"/>
  <c r="AG28" i="11"/>
  <c r="AG29" i="11"/>
  <c r="AG30" i="11"/>
  <c r="AG31" i="11"/>
  <c r="AG32" i="11"/>
  <c r="AG33" i="11"/>
  <c r="AG34" i="11"/>
  <c r="AG35" i="11"/>
  <c r="AG36" i="11"/>
  <c r="AG37" i="11"/>
  <c r="AG38" i="11"/>
  <c r="AG39" i="11"/>
  <c r="AG40" i="11"/>
  <c r="AG41" i="11"/>
  <c r="AG42" i="11"/>
  <c r="AG43" i="11"/>
  <c r="AG44" i="11"/>
  <c r="AG45" i="11"/>
  <c r="AG46" i="11"/>
  <c r="AG47" i="11"/>
  <c r="AG48" i="11"/>
  <c r="AG49" i="11"/>
  <c r="AG50" i="11"/>
  <c r="AG51" i="11"/>
  <c r="AG52" i="11"/>
  <c r="AG53" i="11"/>
  <c r="AG54" i="11"/>
  <c r="AG55" i="11"/>
  <c r="AG56" i="11"/>
  <c r="AG57" i="11"/>
  <c r="AG58" i="11"/>
  <c r="AG59" i="11"/>
  <c r="AG60" i="11"/>
  <c r="AG61" i="11"/>
  <c r="AG62" i="11"/>
  <c r="AG63" i="11"/>
  <c r="AG64" i="11"/>
  <c r="AG65" i="11"/>
  <c r="AG66" i="11"/>
  <c r="AG67" i="11"/>
  <c r="AG68" i="11"/>
  <c r="AG10" i="11"/>
  <c r="AG9" i="11"/>
  <c r="AH10" i="11" l="1"/>
  <c r="J26" i="4"/>
  <c r="K26" i="4"/>
  <c r="L26" i="4"/>
  <c r="M26" i="4"/>
  <c r="U34" i="17" l="1"/>
  <c r="U33" i="17"/>
  <c r="W34" i="13" l="1"/>
  <c r="W33" i="13"/>
  <c r="I26" i="4" l="1"/>
  <c r="K22" i="19" l="1"/>
  <c r="U32" i="17" l="1"/>
  <c r="W32" i="13" l="1"/>
  <c r="W31" i="13" l="1"/>
  <c r="U31" i="17" l="1"/>
  <c r="K33" i="19" l="1"/>
  <c r="K32" i="19"/>
  <c r="K31" i="19"/>
  <c r="K30" i="19"/>
  <c r="K29" i="19"/>
  <c r="K28" i="19"/>
  <c r="K27" i="19"/>
  <c r="K26" i="19"/>
  <c r="K25" i="19"/>
  <c r="K24" i="19"/>
  <c r="K23" i="19"/>
  <c r="U30" i="17" l="1"/>
  <c r="U29" i="17"/>
  <c r="W30" i="13"/>
  <c r="W29" i="13"/>
  <c r="U28" i="17" l="1"/>
  <c r="U27" i="17"/>
  <c r="U26" i="17"/>
  <c r="U25" i="17"/>
  <c r="S22" i="17"/>
  <c r="Q22" i="17"/>
  <c r="P22" i="17"/>
  <c r="O22" i="17"/>
  <c r="N22" i="17"/>
  <c r="L22" i="17"/>
  <c r="G22" i="17"/>
  <c r="I22" i="17"/>
  <c r="F22" i="17"/>
  <c r="E22" i="17"/>
  <c r="D22" i="17"/>
  <c r="C22" i="17"/>
  <c r="S21" i="17"/>
  <c r="Q21" i="17"/>
  <c r="P21" i="17"/>
  <c r="O21" i="17"/>
  <c r="N21" i="17"/>
  <c r="L21" i="17"/>
  <c r="G21" i="17"/>
  <c r="I21" i="17"/>
  <c r="F21" i="17"/>
  <c r="E21" i="17"/>
  <c r="D21" i="17"/>
  <c r="C21" i="17"/>
  <c r="U20" i="17"/>
  <c r="U19" i="17"/>
  <c r="U18" i="17"/>
  <c r="U17" i="17"/>
  <c r="U16" i="17"/>
  <c r="U15" i="17"/>
  <c r="R28" i="13"/>
  <c r="Q28" i="13"/>
  <c r="P28" i="13"/>
  <c r="N28" i="13"/>
  <c r="M28" i="13"/>
  <c r="U27" i="13"/>
  <c r="R27" i="13"/>
  <c r="Q27" i="13"/>
  <c r="P27" i="13"/>
  <c r="M27" i="13"/>
  <c r="W26" i="13"/>
  <c r="W25" i="13"/>
  <c r="W22" i="13"/>
  <c r="W21" i="13"/>
  <c r="W20" i="13"/>
  <c r="W19" i="13"/>
  <c r="W18" i="13"/>
  <c r="W17" i="13"/>
  <c r="W16" i="13"/>
  <c r="W15" i="13"/>
  <c r="Y33" i="13" l="1"/>
  <c r="Z35" i="13"/>
  <c r="AA35" i="13" s="1"/>
  <c r="Z33" i="13"/>
  <c r="AA33" i="13" s="1"/>
  <c r="Z31" i="13"/>
  <c r="AA31" i="13" s="1"/>
  <c r="Z25" i="13"/>
  <c r="AA25" i="13" s="1"/>
  <c r="Z29" i="13"/>
  <c r="AA29" i="13" s="1"/>
  <c r="U22" i="17"/>
  <c r="U21" i="17"/>
  <c r="W27" i="13"/>
  <c r="Z27" i="13" s="1"/>
  <c r="AA27" i="13" s="1"/>
  <c r="W28" i="13"/>
  <c r="W29" i="17" l="1"/>
  <c r="W25" i="17"/>
  <c r="W35" i="17"/>
  <c r="W33" i="17"/>
  <c r="W27" i="17"/>
  <c r="W31" i="17"/>
  <c r="X35" i="17"/>
  <c r="Y35" i="17" s="1"/>
  <c r="X33" i="17"/>
  <c r="Y33" i="17" s="1"/>
  <c r="X31" i="17"/>
  <c r="Y31" i="17" s="1"/>
  <c r="X29" i="17"/>
  <c r="Y29" i="17" s="1"/>
  <c r="X27" i="17"/>
  <c r="Y27" i="17" s="1"/>
  <c r="X25" i="17"/>
  <c r="Y25" i="17" s="1"/>
  <c r="H26" i="4"/>
  <c r="O9" i="11" l="1"/>
  <c r="P15" i="11" s="1"/>
  <c r="P12" i="11" l="1"/>
  <c r="P61" i="11"/>
  <c r="P46" i="11"/>
  <c r="P30" i="11"/>
  <c r="P66" i="11"/>
  <c r="P58" i="11"/>
  <c r="P42" i="11"/>
  <c r="P26" i="11"/>
  <c r="P9" i="11"/>
  <c r="P65" i="11"/>
  <c r="P54" i="11"/>
  <c r="P38" i="11"/>
  <c r="P22" i="11"/>
  <c r="P13" i="11"/>
  <c r="P62" i="11"/>
  <c r="P50" i="11"/>
  <c r="P34" i="11"/>
  <c r="P18" i="11"/>
  <c r="P57" i="11"/>
  <c r="P53" i="11"/>
  <c r="P49" i="11"/>
  <c r="P45" i="11"/>
  <c r="P41" i="11"/>
  <c r="P37" i="11"/>
  <c r="P33" i="11"/>
  <c r="P29" i="11"/>
  <c r="P25" i="11"/>
  <c r="P21" i="11"/>
  <c r="P17" i="11"/>
  <c r="P10" i="11"/>
  <c r="P11" i="11"/>
  <c r="P64" i="11"/>
  <c r="P60" i="11"/>
  <c r="P56" i="11"/>
  <c r="P52" i="11"/>
  <c r="P48" i="11"/>
  <c r="P44" i="11"/>
  <c r="P40" i="11"/>
  <c r="P36" i="11"/>
  <c r="P32" i="11"/>
  <c r="P28" i="11"/>
  <c r="P24" i="11"/>
  <c r="P20" i="11"/>
  <c r="P16" i="11"/>
  <c r="P14" i="11"/>
  <c r="P67" i="11"/>
  <c r="P63" i="11"/>
  <c r="P59" i="11"/>
  <c r="P55" i="11"/>
  <c r="P51" i="11"/>
  <c r="P47" i="11"/>
  <c r="P43" i="11"/>
  <c r="P39" i="11"/>
  <c r="P35" i="11"/>
  <c r="P31" i="11"/>
  <c r="P27" i="11"/>
  <c r="P23" i="11"/>
  <c r="P19" i="11"/>
  <c r="G25" i="4"/>
  <c r="K10" i="11"/>
  <c r="Q10" i="11" l="1"/>
  <c r="C9" i="11"/>
  <c r="D10" i="11" s="1"/>
  <c r="F24" i="4"/>
  <c r="F25" i="4" s="1"/>
  <c r="E24" i="4"/>
  <c r="E25" i="4" s="1"/>
  <c r="D24" i="4"/>
  <c r="D25" i="4" s="1"/>
  <c r="C24" i="4"/>
  <c r="C25" i="4" s="1"/>
  <c r="B24" i="4"/>
  <c r="B25" i="4" s="1"/>
  <c r="B12" i="4"/>
  <c r="B13" i="4" s="1"/>
  <c r="C12" i="4"/>
  <c r="C13" i="4" s="1"/>
  <c r="M12" i="4"/>
  <c r="M13" i="4" s="1"/>
  <c r="L12" i="4"/>
  <c r="L13" i="4" s="1"/>
  <c r="K12" i="4"/>
  <c r="K13" i="4" s="1"/>
  <c r="J12" i="4"/>
  <c r="J13" i="4" s="1"/>
  <c r="I12" i="4"/>
  <c r="I13" i="4" s="1"/>
  <c r="H12" i="4"/>
  <c r="H13" i="4" s="1"/>
  <c r="G12" i="4"/>
  <c r="G13" i="4" s="1"/>
  <c r="F12" i="4"/>
  <c r="F13" i="4" s="1"/>
  <c r="E12" i="4"/>
  <c r="E13" i="4" s="1"/>
  <c r="D12" i="4"/>
  <c r="D13" i="4" s="1"/>
  <c r="D58" i="11" l="1"/>
  <c r="D50" i="11"/>
  <c r="D41" i="11"/>
  <c r="D66" i="11"/>
  <c r="D25" i="11"/>
  <c r="D65" i="11"/>
  <c r="D57" i="11"/>
  <c r="D49" i="11"/>
  <c r="D37" i="11"/>
  <c r="D21" i="11"/>
  <c r="D9" i="11"/>
  <c r="D62" i="11"/>
  <c r="D54" i="11"/>
  <c r="D46" i="11"/>
  <c r="D33" i="11"/>
  <c r="D17" i="11"/>
  <c r="D69" i="11"/>
  <c r="D61" i="11"/>
  <c r="D53" i="11"/>
  <c r="D45" i="11"/>
  <c r="D29" i="11"/>
  <c r="D13" i="11"/>
  <c r="D68" i="11"/>
  <c r="D64" i="11"/>
  <c r="D60" i="11"/>
  <c r="D56" i="11"/>
  <c r="D52" i="11"/>
  <c r="D48" i="11"/>
  <c r="D44" i="11"/>
  <c r="D40" i="11"/>
  <c r="D36" i="11"/>
  <c r="D32" i="11"/>
  <c r="D28" i="11"/>
  <c r="D24" i="11"/>
  <c r="D20" i="11"/>
  <c r="D16" i="11"/>
  <c r="D12" i="11"/>
  <c r="D67" i="11"/>
  <c r="D63" i="11"/>
  <c r="D59" i="11"/>
  <c r="D55" i="11"/>
  <c r="D51" i="11"/>
  <c r="D47" i="11"/>
  <c r="D43" i="11"/>
  <c r="D39" i="11"/>
  <c r="D35" i="11"/>
  <c r="D31" i="11"/>
  <c r="D27" i="11"/>
  <c r="D23" i="11"/>
  <c r="D19" i="11"/>
  <c r="D15" i="11"/>
  <c r="D11" i="11"/>
  <c r="D42" i="11"/>
  <c r="D38" i="11"/>
  <c r="D34" i="11"/>
  <c r="D30" i="11"/>
  <c r="D26" i="11"/>
  <c r="D22" i="11"/>
  <c r="D18" i="11"/>
  <c r="D14" i="11"/>
  <c r="E10" i="1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oscar santander</author>
  </authors>
  <commentList>
    <comment ref="D35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oscar santander:</t>
        </r>
        <r>
          <rPr>
            <sz val="9"/>
            <color indexed="81"/>
            <rFont val="Tahoma"/>
            <family val="2"/>
          </rPr>
          <t xml:space="preserve">
1 PACIENTE CON PROBLEMA DE PLATAFORMA SIGTE</t>
        </r>
      </text>
    </comment>
    <comment ref="F35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oscar santander:</t>
        </r>
        <r>
          <rPr>
            <sz val="9"/>
            <color indexed="81"/>
            <rFont val="Tahoma"/>
            <family val="2"/>
          </rPr>
          <t xml:space="preserve">
1 PACIENTE CON PROBLEMA DE PLATAFORMA SIGTE</t>
        </r>
      </text>
    </comment>
    <comment ref="D37" authorId="0" shapeId="0" xr:uid="{069AF62F-D02B-4B85-9562-EA41EC796EC8}">
      <text>
        <r>
          <rPr>
            <b/>
            <sz val="9"/>
            <color indexed="81"/>
            <rFont val="Tahoma"/>
            <family val="2"/>
          </rPr>
          <t>oscar santander:</t>
        </r>
        <r>
          <rPr>
            <sz val="9"/>
            <color indexed="81"/>
            <rFont val="Tahoma"/>
            <family val="2"/>
          </rPr>
          <t xml:space="preserve">
1 PACIENTE CON PROBLEMA DE PLATAFORMA SIGTE</t>
        </r>
      </text>
    </comment>
    <comment ref="F37" authorId="0" shapeId="0" xr:uid="{0D3E0254-79CF-422B-9BC6-03FE3381880E}">
      <text>
        <r>
          <rPr>
            <b/>
            <sz val="9"/>
            <color indexed="81"/>
            <rFont val="Tahoma"/>
            <family val="2"/>
          </rPr>
          <t>oscar santander:</t>
        </r>
        <r>
          <rPr>
            <sz val="9"/>
            <color indexed="81"/>
            <rFont val="Tahoma"/>
            <family val="2"/>
          </rPr>
          <t xml:space="preserve">
1 PACIENTE CON PROBLEMA DE PLATAFORMA SIGTE</t>
        </r>
      </text>
    </comment>
  </commentList>
</comments>
</file>

<file path=xl/sharedStrings.xml><?xml version="1.0" encoding="utf-8"?>
<sst xmlns="http://schemas.openxmlformats.org/spreadsheetml/2006/main" count="1607" uniqueCount="449">
  <si>
    <t>COMGES 2018
(&lt;= 2016)</t>
  </si>
  <si>
    <t>TOTAL LISTA ESPERA CNE</t>
  </si>
  <si>
    <t>SALAMANCA</t>
  </si>
  <si>
    <t>PUNITAQUI</t>
  </si>
  <si>
    <t>OVALLE</t>
  </si>
  <si>
    <t>MONTE PATRIA</t>
  </si>
  <si>
    <t>LA SERENA</t>
  </si>
  <si>
    <t>LA HIGUERA</t>
  </si>
  <si>
    <t>COQUIMBO</t>
  </si>
  <si>
    <t>CANELA</t>
  </si>
  <si>
    <t>HOSPITAL DE ILLAPEL</t>
  </si>
  <si>
    <t>HOSPITAL DE OVALLE</t>
  </si>
  <si>
    <t>HOSPITAL DE COQUIMBO</t>
  </si>
  <si>
    <t>HOSPITAL DE LA SERENA</t>
  </si>
  <si>
    <t>Año Entrada</t>
  </si>
  <si>
    <t>MINISTERIO DE SALUD</t>
  </si>
  <si>
    <t>SERVICIO DE SALUD COQUIMBO</t>
  </si>
  <si>
    <t>SUBDIRECCION DE GESTION ASISTENCIAL</t>
  </si>
  <si>
    <t>SUBDEPTO. DE ESTADISTICAS Y GESTION DE LA INFORMACION</t>
  </si>
  <si>
    <t>Indicador COMGES 3.1 Porcentaje de casos resueltos de Lista de Espera de Consulta Nueva de Especialidad Médica, ingresadas con fecha igual o anterior al 31 de diciembre del 2016.</t>
  </si>
  <si>
    <t>Meta Nacional al 2018</t>
  </si>
  <si>
    <t>1.-  Resolver el 100% de la Lista de Espera por Consulta Nueva de Especialidad Médica de personas Ingresadas con fecha igual o anterior al 31.12.2016</t>
  </si>
  <si>
    <t>FUENTE INFORMACION  RNLE  19.01.2018</t>
  </si>
  <si>
    <t>RNLE  19.01.2018 para Lines Base</t>
  </si>
  <si>
    <t xml:space="preserve">LISTA ESPERA CONSULTA NUEVA ESPECIALIDAD CORTE AL 31.12.2017 </t>
  </si>
  <si>
    <t>ESTABLECIMIENTO</t>
  </si>
  <si>
    <t>TOTAL
LISTA ESPERA
CIERRE DIC 2017</t>
  </si>
  <si>
    <t>LE &lt;=2015 IQ</t>
  </si>
  <si>
    <t>COMGES</t>
  </si>
  <si>
    <t>TOTAL LE IQ SS COQUIMBO</t>
  </si>
  <si>
    <t>HOSPITAL LA SERENA</t>
  </si>
  <si>
    <t>HOSPITAL DE LOS VILOS</t>
  </si>
  <si>
    <t>AÑOS</t>
  </si>
  <si>
    <t>Total Servicio Salud</t>
  </si>
  <si>
    <t>TOTAL LISTA ESPERA CNE ODONTOLOGICA</t>
  </si>
  <si>
    <t>COMGES 2018
(&lt;= 2014)</t>
  </si>
  <si>
    <t xml:space="preserve">LISTA ESPERA CONSULTA NUEVA ESPECIALIDAD ODONTOLOGICA CORTE AL 31.12.2017 </t>
  </si>
  <si>
    <t>Evolución</t>
  </si>
  <si>
    <t>CORTE 17/01/2017</t>
  </si>
  <si>
    <t>CORTE 28/02/2017</t>
  </si>
  <si>
    <t>CORTE 21/03/2017</t>
  </si>
  <si>
    <t>CORTE 10/04/2017</t>
  </si>
  <si>
    <t>CORTE 23/05/2017</t>
  </si>
  <si>
    <t>CORTE 13/06/2017</t>
  </si>
  <si>
    <t>CORTE 11/07/2017</t>
  </si>
  <si>
    <t>CORTE 18/08/2017</t>
  </si>
  <si>
    <t>CORTE 26/09/2017</t>
  </si>
  <si>
    <t>CORTE 17/10/2017</t>
  </si>
  <si>
    <t>CORTE 28/11/2017</t>
  </si>
  <si>
    <t>CORTE 19/12/2017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</si>
  <si>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</si>
  <si>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</si>
  <si>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</si>
  <si>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</si>
  <si>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</si>
  <si>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</si>
  <si>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</si>
  <si>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</si>
  <si>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</si>
  <si>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</si>
  <si>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</si>
  <si>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</si>
  <si>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Hospital la Serena</t>
  </si>
  <si>
    <t>Hospital Coquimbo</t>
  </si>
  <si>
    <t>Hospital Ovalle</t>
  </si>
  <si>
    <t>Hospital Illapel</t>
  </si>
  <si>
    <t>APS</t>
  </si>
  <si>
    <t>Hospitales baja complejidad</t>
  </si>
  <si>
    <t>Evolucion 2017</t>
  </si>
  <si>
    <t>CORTE 02/01/2018</t>
  </si>
  <si>
    <t>CORTE 07/02/2018</t>
  </si>
  <si>
    <t>CORTE 06/03/2018</t>
  </si>
  <si>
    <t>CORTE 03/04/2018</t>
  </si>
  <si>
    <t>Evolucion 2018</t>
  </si>
  <si>
    <t>Total general</t>
  </si>
  <si>
    <t>%</t>
  </si>
  <si>
    <t>GO Retrasadas Region</t>
  </si>
  <si>
    <t>PS Retrasados</t>
  </si>
  <si>
    <t>3.1</t>
  </si>
  <si>
    <t>3.2</t>
  </si>
  <si>
    <t>3.3</t>
  </si>
  <si>
    <t>EVOLUCION GARANTIAS DE OPORTUNIDAD RETRASADAS</t>
  </si>
  <si>
    <t>Total</t>
  </si>
  <si>
    <t>Problema de Salud</t>
  </si>
  <si>
    <t>TOTAL GES Retrasadas</t>
  </si>
  <si>
    <t>% Total</t>
  </si>
  <si>
    <t>1º</t>
  </si>
  <si>
    <t>Vicios de Refracción Sospecha Vicios de Refracción {decreto nº 228}</t>
  </si>
  <si>
    <t>2º</t>
  </si>
  <si>
    <t>Prevención Secundaria IRCT . {decreto n° 1/2010}</t>
  </si>
  <si>
    <t>3º</t>
  </si>
  <si>
    <t>Vicios de Refracción Otros Vicios de Refracción {decreto nº 228}</t>
  </si>
  <si>
    <t>4º</t>
  </si>
  <si>
    <t>Ortesis . {decreto nº 228}</t>
  </si>
  <si>
    <t>5º</t>
  </si>
  <si>
    <t>Salud Oral Integral de la Embarazada . {decreto n° 1/2010}</t>
  </si>
  <si>
    <t>6º</t>
  </si>
  <si>
    <t>Cáncer Cervicouterino Segmento Proceso de Diagnóstico {decreto nº 228}</t>
  </si>
  <si>
    <t>7º</t>
  </si>
  <si>
    <t>Retinopatía Diabética . {decreto nº 228}</t>
  </si>
  <si>
    <t>8º</t>
  </si>
  <si>
    <t>Colecistectomía Preventiva . {decreto nº 228}</t>
  </si>
  <si>
    <t>9º</t>
  </si>
  <si>
    <t>Displasia Luxante de Caderas . {decreto n° 1/2010}</t>
  </si>
  <si>
    <t>10º</t>
  </si>
  <si>
    <t>Cáncer de Mama Derecha {decreto nº 228}</t>
  </si>
  <si>
    <t>Estrabismo . {decreto nº 228}</t>
  </si>
  <si>
    <t>Catarátas Rama Unilateral Derecha {decreto nº 228}</t>
  </si>
  <si>
    <t>Marcapaso . {decreto nº 228}</t>
  </si>
  <si>
    <t>Cáncer de Mama Izquierda {decreto nº 228}</t>
  </si>
  <si>
    <t>Linfoma en Adultos .{decreto nº 228}</t>
  </si>
  <si>
    <t>Depresión . {decreto nº 228}</t>
  </si>
  <si>
    <t>Cardiopatías Congénitas Operables Proceso de Diagnóstico{decreto nº 228}</t>
  </si>
  <si>
    <t>Epilepsia no Refractaria 15 Años y Más . {decreto n° 1/2010}</t>
  </si>
  <si>
    <t>Diabetes Mellitus Tipo 2 . {decreto nº 228}</t>
  </si>
  <si>
    <t>Catarátas Rama Unilateral Izquierda{decreto nº 228}</t>
  </si>
  <si>
    <t>Cáncer Gástrico . {decreto nº 228}</t>
  </si>
  <si>
    <t>Alivio del Dolor . {decreto nº 228}</t>
  </si>
  <si>
    <t>Hipertensión Arterial . {decreto nº 228}</t>
  </si>
  <si>
    <t>Esquizofrenia . {decreto nº 228}</t>
  </si>
  <si>
    <t>Hiperplasia de Próstata . {decreto nº 228}</t>
  </si>
  <si>
    <t>VIH/SIDA . {decreto nº 1/2010}</t>
  </si>
  <si>
    <t>Cáncer de Testículo en Adultos Caso en Sospecha y Proceso de Diagnóstico{decreto nº 228}</t>
  </si>
  <si>
    <t>Catarátas Proceso de Diagnóstico {decreto nº 228}</t>
  </si>
  <si>
    <t>Cáncer Cervicouterino Pre-Invasor {decreto nº 228}</t>
  </si>
  <si>
    <t>Catarátas Rama Bilateral {decreto nº 228}</t>
  </si>
  <si>
    <t>Cáncer de Próstata . {decreto nº 228}</t>
  </si>
  <si>
    <t>Artrosis de Caderas Derecha {decreto nº 228}</t>
  </si>
  <si>
    <t>Cáncer Colorectal 15 Años y Más . {decreto n° 4/2013}</t>
  </si>
  <si>
    <t>Artrosis de Caderas Izquierda {decreto nº 228}</t>
  </si>
  <si>
    <t>Hipoacusia Bilateral Adulto Uso de Audífono Requerido . {decreto nº 44}</t>
  </si>
  <si>
    <t>Asma Bronquial 15 Años y Más . {decreto n° 1/2010}</t>
  </si>
  <si>
    <t>Artrosis de Cadera y/o Rodilla Leve o Moderada Artrosis de Cadera Leve o Moderada {decreto nº 44}</t>
  </si>
  <si>
    <t>Neumonía . {decreto nº 228}</t>
  </si>
  <si>
    <t>Hipoacusia bilateral del Prematuro . {decreto n° 1/2010}</t>
  </si>
  <si>
    <t>Cáncer de Testículo en Adultos Izquierda {decreto nº 228}</t>
  </si>
  <si>
    <t>Accidente Cerebrovascular . {decreto nº 228}</t>
  </si>
  <si>
    <t>Asma Bronquial . {decreto nº 228}</t>
  </si>
  <si>
    <t>Tratamiento Erradicación HELICOBACTER PYLORI . {decreto n° 4/2013}</t>
  </si>
  <si>
    <t>Analgesia del Parto . {decreto nº 44}</t>
  </si>
  <si>
    <t>ENFERMEDAD RENAL CRÓNICA ETAPA 4 Y 5 . {decreto nº 228}</t>
  </si>
  <si>
    <t>Fibrosis Quística . {decreto nº 44}</t>
  </si>
  <si>
    <t>Infarto Agudo del Miocardio Infarto Agudo del Miocardio {decreto nº 228}</t>
  </si>
  <si>
    <t>Enfermedad Pulmonar Obstructiva Crónica . {decreto nº 228}</t>
  </si>
  <si>
    <t>Leucemia Adulto Leucemia Crónica {decreto nº 44}</t>
  </si>
  <si>
    <t>Retinopatía del Prematuro . {decreto n° 1/2010}</t>
  </si>
  <si>
    <t>ENFERMEDAD RENAL CRÓNICA ETAPA 4 Y 5 . {decreto nº 170}</t>
  </si>
  <si>
    <t>Hipotiroidismo en Personas de 15 Años y Más . {decreto n° 4/2013}</t>
  </si>
  <si>
    <t>Trauma Ocular Grave . {decreto nº 44}</t>
  </si>
  <si>
    <t>Cáncer Cervicouterino Invasor {decreto nº 228}</t>
  </si>
  <si>
    <t>Tumores Primarios SNC . {decreto nº 44}</t>
  </si>
  <si>
    <t>Cáncer de Testículo en Adultos Derecha {decreto nº 228}</t>
  </si>
  <si>
    <t>Enfermedad de Parkinson . {decreto n° 1/2010}</t>
  </si>
  <si>
    <t>Diabetes Mellitus Tipo 1 Diabetes Mellitus I {decreto nº 228}</t>
  </si>
  <si>
    <t>Artritis Reumatoide . {decreto nº 44}</t>
  </si>
  <si>
    <t>Hernia Núcleo Pulposo Lumbar . {decreto nº 44}</t>
  </si>
  <si>
    <t>GES Retrasadas Región de Coquimbo</t>
  </si>
  <si>
    <t>Leucemia Adulto Leucemia Aguda {decreto nº 44}</t>
  </si>
  <si>
    <t>Artrosis de Cadera y/o Rodilla Leve o Moderada Artrosis de Rodilla Leve o Moderada {decreto nº 44}</t>
  </si>
  <si>
    <t>Infección Respiratoria Aguda . {decreto nº 228}</t>
  </si>
  <si>
    <t>Epilepsia No Refractaria . {decreto nº 228}</t>
  </si>
  <si>
    <t>Desprendimiento de Retina . {decreto nº 228}</t>
  </si>
  <si>
    <t>CORTE 08/05/2018</t>
  </si>
  <si>
    <t>CORTE 05/06/2018</t>
  </si>
  <si>
    <t>HOSPITALES</t>
  </si>
  <si>
    <t>COMUNAS APS</t>
  </si>
  <si>
    <t>Corte 30-05-2018 LE SIGTE</t>
  </si>
  <si>
    <t>Corte 30-05-201 Egresos SIGTE</t>
  </si>
  <si>
    <t>META MINSAL
25%
LE TOTAL 2017</t>
  </si>
  <si>
    <t>1.1</t>
  </si>
  <si>
    <t>1.2</t>
  </si>
  <si>
    <t>Esclerosis Múltiple Remitente Recurrente . {decreto n° 1/2010}</t>
  </si>
  <si>
    <t>Salud Oral . {decreto nº 228}</t>
  </si>
  <si>
    <t>Salud Oral Adulto . {decreto nº 44}</t>
  </si>
  <si>
    <t>Corte 17/07/2018</t>
  </si>
  <si>
    <t>CORTE 17/07/2018</t>
  </si>
  <si>
    <t>Prematurez Prevención parto prematuro {decreto nº 228}</t>
  </si>
  <si>
    <t>Politraumatizado Grave Politraumatismo con Lesión Medular {decreto nº 44}</t>
  </si>
  <si>
    <t>Traumatismo Craneoencefálico Moderado o Grave . {decreto nº 44}</t>
  </si>
  <si>
    <t>Corte 30-06-2018 LE SIGTE</t>
  </si>
  <si>
    <t>Corte 30-06-2018 Egresos SIGTE</t>
  </si>
  <si>
    <t>EGRESOS 2018</t>
  </si>
  <si>
    <t>% EGRESOS</t>
  </si>
  <si>
    <t>NO PLAN
(01-01-2018 AL 14-03-2018)</t>
  </si>
  <si>
    <t>% DISMINUCION TOTAL</t>
  </si>
  <si>
    <t>META COMGES
3° CORTE
SEPTIEMBRE 2018
70%</t>
  </si>
  <si>
    <t>Corte 30-07-2018 LE SIGTE</t>
  </si>
  <si>
    <t>Corte 30-07-2018 Egresos SIGTE</t>
  </si>
  <si>
    <t>Lista de Espera CNE Establecimientos Mayor Complejidad</t>
  </si>
  <si>
    <t>Lista Espera CNE establecimiento de Mediana Complejidad</t>
  </si>
  <si>
    <t>Lista Espera CNE MUNICIPIOS</t>
  </si>
  <si>
    <t>LE CNE según nivel y Especialidad Destino</t>
  </si>
  <si>
    <t>Etiquetas de fila</t>
  </si>
  <si>
    <t>MAYOR COMPLEJIDAD</t>
  </si>
  <si>
    <t>Hospital San Juan de Dios (La Serena)</t>
  </si>
  <si>
    <t>Hospital Dr. Humberto Elorza Cortés (Illapel)</t>
  </si>
  <si>
    <t>Centro de Salud Familiar Dr. Sergio Aguilar Delgado</t>
  </si>
  <si>
    <t>Centro de Salud Familiar Santa Cecilia</t>
  </si>
  <si>
    <t>Centro de Salud Familiar Jorge Jordán Domic</t>
  </si>
  <si>
    <t>Centro de Salud Familiar San Juan</t>
  </si>
  <si>
    <t>Centro de Salud Familiar Tongoy</t>
  </si>
  <si>
    <t>Centro de Salud Familiar Marcos Macuada</t>
  </si>
  <si>
    <t>Centro de Salud Familiar Canela</t>
  </si>
  <si>
    <t>Centro de Salud Familiar Punitaqui</t>
  </si>
  <si>
    <t>Hospital de Salamanca</t>
  </si>
  <si>
    <t>Centro Comunitario de Salud Familiar San José de la Dehesa</t>
  </si>
  <si>
    <t>Centro de Salud Familiar La Higuera</t>
  </si>
  <si>
    <t>Centro de Salud Familiar El Palqui</t>
  </si>
  <si>
    <t>Centro de Salud Familiar Monte Patria</t>
  </si>
  <si>
    <t>Centro de Salud Familiar Cerrillos de Tamaya</t>
  </si>
  <si>
    <t>Hospital Dr. José Arraño (Andacollo)</t>
  </si>
  <si>
    <t>Corte 30-05-2018</t>
  </si>
  <si>
    <t>Hospital Dr. Antonio Tirado Lanas (Ovalle)</t>
  </si>
  <si>
    <t>CONSULTORIO</t>
  </si>
  <si>
    <t>MEDIANA COMPLEJIDAD</t>
  </si>
  <si>
    <t>Hospital San Pablo (Coquimbo)</t>
  </si>
  <si>
    <t>BAJA COMPLEJIDAD</t>
  </si>
  <si>
    <t>Lista espera Total IQ por Establecimientos</t>
  </si>
  <si>
    <t>Grupo IQ</t>
  </si>
  <si>
    <t>Establecimiento Destino</t>
  </si>
  <si>
    <t>TRAUMATOLOGIA</t>
  </si>
  <si>
    <t>GASTROENTEROLOGIA</t>
  </si>
  <si>
    <t>CIRUGIA OTORRINOLARINGOLOGIA</t>
  </si>
  <si>
    <t>GINECOLOGIA Y OBSTETRICIA</t>
  </si>
  <si>
    <t>NEUROLOGIA Y NEUROCIRUGIA</t>
  </si>
  <si>
    <t>UROLOGIA Y NEFROLOGIA</t>
  </si>
  <si>
    <t>DERMATOLOGI Y TEGUMANTOS</t>
  </si>
  <si>
    <t>CIRUGIA OFTALMICA</t>
  </si>
  <si>
    <t>CIRUGIA CARDIOVASCULAR</t>
  </si>
  <si>
    <t>CIRUGIA PLASTICA Y REPARADORA</t>
  </si>
  <si>
    <t>CIRUGIA CABEZA Y CUELLO</t>
  </si>
  <si>
    <t>Corte 30-06-2018</t>
  </si>
  <si>
    <t>Corte 23-04-2018</t>
  </si>
  <si>
    <t>HOSPITAL DE ANDACOLLO</t>
  </si>
  <si>
    <t>Variacion Mensual 2018</t>
  </si>
  <si>
    <t>Corte 30-12-2017</t>
  </si>
  <si>
    <t>Lista de Espera Consulta Nueva de Especialidad Region Coquimbo</t>
  </si>
  <si>
    <t>Corte 30-07-2018</t>
  </si>
  <si>
    <t>Corte 30-08-2018</t>
  </si>
  <si>
    <t>Corte 30-09-2018</t>
  </si>
  <si>
    <t>Corte 30-10-2018</t>
  </si>
  <si>
    <t>Corte 30-12-2018</t>
  </si>
  <si>
    <t>Variacion Mensual EAR 2018</t>
  </si>
  <si>
    <t>Variacion Mensual Mediana Complejidad 2018</t>
  </si>
  <si>
    <t>Lista Espera CNE Hospitales Baja Complejidad</t>
  </si>
  <si>
    <t>Variacion Mensual Baja Complejidad</t>
  </si>
  <si>
    <t>Variacion Mensual Minicipios</t>
  </si>
  <si>
    <t>Corte 30-05- 2018</t>
  </si>
  <si>
    <t>Corte 31-12-2017</t>
  </si>
  <si>
    <t>Corte 30-07- 2018</t>
  </si>
  <si>
    <t>ENDODONCIA</t>
  </si>
  <si>
    <t>REHABILITACIÓN ORAL</t>
  </si>
  <si>
    <t>PERIODONCIA</t>
  </si>
  <si>
    <t>CIRUGÍA BUCAL</t>
  </si>
  <si>
    <t>ODONTOPEDIATRÍA</t>
  </si>
  <si>
    <t>TRASTORNOS TEMPOROMANDIBULARES Y DOLOR OROFACIAL</t>
  </si>
  <si>
    <t>CIRUGÍA Y TRAUMATOLOGÍA BUCO MAXILOFACIAL</t>
  </si>
  <si>
    <t>ORTODONCIA Y ORTOPEDIA DENTO MÁXILO FACIAL</t>
  </si>
  <si>
    <r>
      <t xml:space="preserve">LE CN Odontologica según nivel y Especialidad Destino </t>
    </r>
    <r>
      <rPr>
        <b/>
        <sz val="14"/>
        <color rgb="FFFF0000"/>
        <rFont val="Calibri"/>
        <family val="2"/>
        <scheme val="minor"/>
      </rPr>
      <t>sin Ortodoncia</t>
    </r>
  </si>
  <si>
    <t>Corte 30-08-2018 LE SIGTE</t>
  </si>
  <si>
    <t>Corte 30-08-2018 Egresos SIGTE</t>
  </si>
  <si>
    <t>Centro Comunitario de Salud Familiar Lambert</t>
  </si>
  <si>
    <t>Centro Comunitario de Salud Familiar Villa el Indio</t>
  </si>
  <si>
    <t>Centro de Salud Familiar Cardenal Caro</t>
  </si>
  <si>
    <t>Centro de Salud Familiar Cardenal Raúl Silva Henríquez de La Serena</t>
  </si>
  <si>
    <t>Centro de Salud Familiar Chañaral Alto</t>
  </si>
  <si>
    <t>Centro de Salud Familiar Dr. Emilio Schaffhauser</t>
  </si>
  <si>
    <t>Centro de Salud Familiar Juan Pablo II</t>
  </si>
  <si>
    <t>Centro de Salud Familiar Las Compañías</t>
  </si>
  <si>
    <t>Centro de Salud Familiar Paihuano</t>
  </si>
  <si>
    <t>Centro de Salud Familiar Pedro Aguirre Cerda</t>
  </si>
  <si>
    <t>Centro de Salud Familiar Tierras Blancas</t>
  </si>
  <si>
    <t>Posta de Salud Rural Pintacura Sur</t>
  </si>
  <si>
    <t>Hospital San Juan de Dios (Combarbalá)</t>
  </si>
  <si>
    <t>Hospital San Juan de Dios (Vicuña)</t>
  </si>
  <si>
    <t>Hospital San Pedro (Los Vilos)</t>
  </si>
  <si>
    <t>Centro de Salud Familiar Carén</t>
  </si>
  <si>
    <t>ANESTESIOLOGÍA</t>
  </si>
  <si>
    <t>CARDIOLOGÍA</t>
  </si>
  <si>
    <t>CARDIOLOGÍA PEDIÁTRICA</t>
  </si>
  <si>
    <t>CIRUGÍA DE CABEZA, CUELLO Y MAXILOFACIAL</t>
  </si>
  <si>
    <t>CIRUGÍA DE MAMA</t>
  </si>
  <si>
    <t>CIRUGÍA DE TÓRAX</t>
  </si>
  <si>
    <t>CIRUGÍA DIGESTIVA</t>
  </si>
  <si>
    <t>CIRUGÍA GENERAL</t>
  </si>
  <si>
    <t>CIRUGÍA PEDIÁTRICA</t>
  </si>
  <si>
    <t>CIRUGÍA PLÁSTICA Y REPARADORA</t>
  </si>
  <si>
    <t>CIRUGÍA VASCULAR PERIFÉRICA</t>
  </si>
  <si>
    <t>COLOPROCTOLOGÍA</t>
  </si>
  <si>
    <t>DERMATOLOGÍA</t>
  </si>
  <si>
    <t>DIABETOLOGÍA</t>
  </si>
  <si>
    <t>ENDOCRINOLOGÍA ADULTO</t>
  </si>
  <si>
    <t>ENDOCRINOLOGÍA PEDIÁTRICA</t>
  </si>
  <si>
    <t>ENF. TRASMISIÓN SEXUAL</t>
  </si>
  <si>
    <t>ENFERMEDADES RESPIRATORIAS DEL ADULTO (BRONCOPULMONAR)</t>
  </si>
  <si>
    <t>ENFERMEDADES RESPIRATORIAS PEDIÁTRICAS (BRONCOPULMONAR PEDIATRICO)</t>
  </si>
  <si>
    <t>GASTROENTEROLOGÍA ADULTO</t>
  </si>
  <si>
    <t>GASTROENTEROLOGÍA PEDIÁTRICA</t>
  </si>
  <si>
    <t>GINECOLOGÍA</t>
  </si>
  <si>
    <t>GINECOLOGÍA PEDIÁTRICA Y DE LA ADOLESCENCIA</t>
  </si>
  <si>
    <t>HEMATOLOGÍA</t>
  </si>
  <si>
    <t>HEMATO-ONCOLOGÍA PEDIÁTRICA</t>
  </si>
  <si>
    <t>INFECTOLOGÍA</t>
  </si>
  <si>
    <t>MEDICINA FÍSICA Y REHABILITACIÓN (FISIATRIA ADULTO)</t>
  </si>
  <si>
    <t>MEDICINA FISICA Y REHABILITACIÓN PEDIÁTRICA (FISIATRIA PEDIATRICA)</t>
  </si>
  <si>
    <t>MEDICINA INTERNA</t>
  </si>
  <si>
    <t>NEFROLOGÍA ADULTO</t>
  </si>
  <si>
    <t>NEFROLOGÍA PEDIÁTRICO</t>
  </si>
  <si>
    <t>NEUROCIRUGÍA</t>
  </si>
  <si>
    <t>NEUROLOGÍA ADULTO</t>
  </si>
  <si>
    <t>NEUROLOGÍA PEDIÁTRICA</t>
  </si>
  <si>
    <t>OBSTETRICIA</t>
  </si>
  <si>
    <t>OFTALMOLOGÍA</t>
  </si>
  <si>
    <t>ONCOLOGÍA MÉDICA</t>
  </si>
  <si>
    <t>OTORRINOLARINGOLOGÍA</t>
  </si>
  <si>
    <t>PEDIATRÍA</t>
  </si>
  <si>
    <t>PSIQUIATRÍA ADULTO</t>
  </si>
  <si>
    <t>PSIQUIATRÍA PEDIÁTRICA Y DE LA ADOLESCENCIA</t>
  </si>
  <si>
    <t>RADIOTERAPIA ONCOLÓGICA</t>
  </si>
  <si>
    <t>REUMATOLOGÍA</t>
  </si>
  <si>
    <t>REUMATOLOGÍA PEDIÁTRICA</t>
  </si>
  <si>
    <t>TRAUMATOLOGÍA Y ORTOPEDIA</t>
  </si>
  <si>
    <t>TRAUMATOLOGÍA Y ORTOPEDIA PEDIÁTRICA</t>
  </si>
  <si>
    <t>UAPO Coquimbo</t>
  </si>
  <si>
    <t>UROLOGÍA</t>
  </si>
  <si>
    <t>UROLOGÍA PEDIÁTRICA</t>
  </si>
  <si>
    <t>UAPO Ovalle</t>
  </si>
  <si>
    <t>Centro de Salud Familiar Sotaquí</t>
  </si>
  <si>
    <t>Posta de Salud Rural Matancilla</t>
  </si>
  <si>
    <t>Posta de Salud Rural Tunga Norte</t>
  </si>
  <si>
    <r>
      <t xml:space="preserve">LE CN Odontologica EAR </t>
    </r>
    <r>
      <rPr>
        <b/>
        <sz val="14"/>
        <color rgb="FFFF0000"/>
        <rFont val="Calibri"/>
        <family val="2"/>
        <scheme val="minor"/>
      </rPr>
      <t>sin ortodoncia</t>
    </r>
  </si>
  <si>
    <r>
      <t>LE CN Odontologica Mediana Complejidad</t>
    </r>
    <r>
      <rPr>
        <b/>
        <sz val="14"/>
        <color rgb="FFFF0000"/>
        <rFont val="Calibri"/>
        <family val="2"/>
        <scheme val="minor"/>
      </rPr>
      <t xml:space="preserve"> sin Ortodoncia</t>
    </r>
  </si>
  <si>
    <r>
      <t xml:space="preserve">LE CN Odontologica Baja Complejidad </t>
    </r>
    <r>
      <rPr>
        <b/>
        <sz val="14"/>
        <color rgb="FFFF0000"/>
        <rFont val="Calibri"/>
        <family val="2"/>
        <scheme val="minor"/>
      </rPr>
      <t>sin Ortodoncia</t>
    </r>
  </si>
  <si>
    <r>
      <t xml:space="preserve">LE CN Odontologica CONSULTORIOS </t>
    </r>
    <r>
      <rPr>
        <b/>
        <sz val="14"/>
        <color rgb="FFFF0000"/>
        <rFont val="Calibri"/>
        <family val="2"/>
        <scheme val="minor"/>
      </rPr>
      <t>sin Ortodoncia</t>
    </r>
  </si>
  <si>
    <t>PLAN MINISTERIAL 
DISMINUCION DEL 25% LE IQ</t>
  </si>
  <si>
    <t>PLAN MINISTERIAL N°1
CONSIDERA EGRESOS DE IQ ENTRE 15-03-2018 AL 31-07-2018
CON FECHA ENTRADA ANTERIOR 
AL 01-01-2018</t>
  </si>
  <si>
    <t>Síndrome de Dificultad Respiratoria . {decreto nº 228}</t>
  </si>
  <si>
    <t>CORTE 21/08/2018</t>
  </si>
  <si>
    <t>Meta COMGES y Cumplimiento</t>
  </si>
  <si>
    <t>Meta COMGES y Cumplimiento Hospitales y Comunas</t>
  </si>
  <si>
    <t>GO Retrasadas Establecimiento Hospitales y Comunas</t>
  </si>
  <si>
    <t>Introduccion</t>
  </si>
  <si>
    <t>A continuacion, encontrará informacion mensual referente a las Listas de espera totales, y su cumplimiento de COMGES para el año solicitado.</t>
  </si>
  <si>
    <t>Centro de Salud Familiar Urbano de Illapel</t>
  </si>
  <si>
    <t>PLAN MINISTERIAL N°2
REDUCCION LE &lt; 2017</t>
  </si>
  <si>
    <t>LB MINSAL
LE &lt; 2017
(al cierre julio 2018)</t>
  </si>
  <si>
    <t>CONSIDERA EGRESOS DE IQ ENTRE 01-08-2018 AL 31-12-2018
CON FECHA ENTRADA ANTERIOR 
AL 01-01-2017</t>
  </si>
  <si>
    <t>% CUMPLIMIENTO PLAN N°2</t>
  </si>
  <si>
    <t>PACIENTES DE HOSPITAL DE LOS VILOS FUERON RE - DERIVADOS: 2 A HLS Y 7 A HILL</t>
  </si>
  <si>
    <t>TOTAL EGRESOS</t>
  </si>
  <si>
    <t>% CUMPLIMIENTO PLAN N°1</t>
  </si>
  <si>
    <t>HOSPITAL DE COMBARBALA</t>
  </si>
  <si>
    <t>OPERATORIA</t>
  </si>
  <si>
    <t>Corte 30-09-2018 LE SIGTE</t>
  </si>
  <si>
    <t>Corte 30-09-2018 Egresos SIGTE</t>
  </si>
  <si>
    <t>H. COQUIMBO</t>
  </si>
  <si>
    <t>H. DE OVALLE</t>
  </si>
  <si>
    <t>H. DE ILLAPEL</t>
  </si>
  <si>
    <t>H. ANDACOLLO</t>
  </si>
  <si>
    <t>H. COMBARBALA</t>
  </si>
  <si>
    <t>H. LOS VILOS</t>
  </si>
  <si>
    <t>H. SALAMANCA</t>
  </si>
  <si>
    <t>H. VICUÑA</t>
  </si>
  <si>
    <t>C. CANELA</t>
  </si>
  <si>
    <t>C. COQUIMBO</t>
  </si>
  <si>
    <t>C. ILLAPEL</t>
  </si>
  <si>
    <t>C. LA HIGUERA</t>
  </si>
  <si>
    <t>C. LA SERENA</t>
  </si>
  <si>
    <t>C. MONTE PATRIA</t>
  </si>
  <si>
    <t>C. OVALLE</t>
  </si>
  <si>
    <t>C. PAIHUANO</t>
  </si>
  <si>
    <t>C. PUNITAQUI</t>
  </si>
  <si>
    <t>C. SALAMANCA</t>
  </si>
  <si>
    <t>C. RIO HURTADO</t>
  </si>
  <si>
    <t>CORTE 20/09/2018</t>
  </si>
  <si>
    <t>Cáncer de Ovario Epitelial . {decreto n° 4/2013}</t>
  </si>
  <si>
    <t>INMUNOLOGÍA</t>
  </si>
  <si>
    <t>UAPO J. Pablo II</t>
  </si>
  <si>
    <t>TOTAL</t>
  </si>
  <si>
    <t>Centro de Salud Familiar El Sauce</t>
  </si>
  <si>
    <t>Corte 31-10-2018 LE SIGTE</t>
  </si>
  <si>
    <t>Corte 31-10-2018 Egresos SIGTE</t>
  </si>
  <si>
    <t>ILLAPEL</t>
  </si>
  <si>
    <r>
      <t xml:space="preserve">LE CN Odontologica  Especialidad </t>
    </r>
    <r>
      <rPr>
        <b/>
        <sz val="14"/>
        <color rgb="FFFF0000"/>
        <rFont val="Calibri"/>
        <family val="2"/>
        <scheme val="minor"/>
      </rPr>
      <t>Ortodoncia</t>
    </r>
  </si>
  <si>
    <t>MONITOREO MENSUAL</t>
  </si>
  <si>
    <t xml:space="preserve">Corte </t>
  </si>
  <si>
    <t>Lista de Espera SIGTE</t>
  </si>
  <si>
    <t>Egresos SIGTE</t>
  </si>
  <si>
    <t>COMGES 2018
CONSIDERA EGRESOS DESDE ENERO A FECHA DE CORTE</t>
  </si>
  <si>
    <t>EGRESOS
COMGES 2018
CIERRE SEPTIEMBRE 2018</t>
  </si>
  <si>
    <t>% Egreso COMGES
CIERRE SEPTIEMBRE 2018</t>
  </si>
  <si>
    <t>META COMGES
4° CORTE
DICIEMBRE 2018
100%</t>
  </si>
  <si>
    <t>EGRESOS
COMGES 2018
FECHA CORTE</t>
  </si>
  <si>
    <t>% Egreso COMGES
FECHA CORTE</t>
  </si>
  <si>
    <r>
      <t xml:space="preserve">CONSIDERA EGRESOS DESDE </t>
    </r>
    <r>
      <rPr>
        <b/>
        <u/>
        <sz val="11"/>
        <color rgb="FFFF0000"/>
        <rFont val="Calibri"/>
        <family val="2"/>
      </rPr>
      <t>15 MARZO HASTA FECHA CORTE</t>
    </r>
    <r>
      <rPr>
        <b/>
        <sz val="11"/>
        <color rgb="FFFF0000"/>
        <rFont val="Calibri"/>
        <family val="2"/>
      </rPr>
      <t xml:space="preserve"> PARA COMPROMISO MINISTERIAL</t>
    </r>
  </si>
  <si>
    <r>
      <t xml:space="preserve">PLAN MINISTERIAL
CONSIDERA EGRESOS DE IQ ENTRE 01-08-2018 AL 15-08-2018
CON FECHA ENTRADA </t>
    </r>
    <r>
      <rPr>
        <b/>
        <sz val="10"/>
        <color rgb="FFFFFF00"/>
        <rFont val="Calibri"/>
        <family val="2"/>
      </rPr>
      <t>AÑO 2017</t>
    </r>
  </si>
  <si>
    <t>Observaciones</t>
  </si>
  <si>
    <t>AUGE</t>
  </si>
  <si>
    <t>CORTE 30/10/2018</t>
  </si>
  <si>
    <t>Disrrafias Espinales Disrrafia Cerrada {decreto nº 228}</t>
  </si>
  <si>
    <t>% egresadaas</t>
  </si>
  <si>
    <t>% pendiente</t>
  </si>
  <si>
    <t>PAIHUANO</t>
  </si>
  <si>
    <t>RIO HURTADO</t>
  </si>
  <si>
    <t>ANDACOLLO</t>
  </si>
  <si>
    <t>COMBARBALA</t>
  </si>
  <si>
    <t>LOS VILOS</t>
  </si>
  <si>
    <t>VICUÑA</t>
  </si>
  <si>
    <t>Disminución LE</t>
  </si>
  <si>
    <r>
      <t xml:space="preserve">Lista Espera </t>
    </r>
    <r>
      <rPr>
        <b/>
        <u/>
        <sz val="11"/>
        <color theme="1"/>
        <rFont val="Calibri"/>
        <family val="2"/>
        <scheme val="minor"/>
      </rPr>
      <t>Total</t>
    </r>
    <r>
      <rPr>
        <b/>
        <sz val="11"/>
        <color theme="1"/>
        <rFont val="Calibri"/>
        <family val="2"/>
        <scheme val="minor"/>
      </rPr>
      <t xml:space="preserve"> Consultas Nuevas de Especialidad, por Nivel y Establecimiento</t>
    </r>
  </si>
  <si>
    <r>
      <t xml:space="preserve">Lista Espera </t>
    </r>
    <r>
      <rPr>
        <b/>
        <u/>
        <sz val="11"/>
        <color theme="1"/>
        <rFont val="Calibri"/>
        <family val="2"/>
        <scheme val="minor"/>
      </rPr>
      <t>Total</t>
    </r>
    <r>
      <rPr>
        <b/>
        <sz val="11"/>
        <color theme="1"/>
        <rFont val="Calibri"/>
        <family val="2"/>
        <scheme val="minor"/>
      </rPr>
      <t xml:space="preserve"> por Nivel y Establecimiento</t>
    </r>
  </si>
  <si>
    <t>EAR</t>
  </si>
  <si>
    <t>Mediana</t>
  </si>
  <si>
    <t>Baja</t>
  </si>
  <si>
    <t>Indicador COMGES 3.2 Porcentaje de casos resueltos de lista de espera por Intervenciones Quirúrgica Electiva, ingresados con fecha igual o anterior al 31 de diciembre del 2015.</t>
  </si>
  <si>
    <t>Meta Nacional al 2018: Resolver el 100% de la lista de espera quirúrgica electiva, de personas ingresadas con fecha igual o anterior al 31 de diciembre del 2015.</t>
  </si>
  <si>
    <t>FUENTE INFORMACION  RNLE  11-01-2018</t>
  </si>
  <si>
    <t>LISTA ESPERA INTERVENCIONES QUIRURGICAS 31-12-2017 (Línea Base)</t>
  </si>
  <si>
    <t>TOTAL LISTA ESPERA IQx</t>
  </si>
  <si>
    <t>COMGES 2018
(&lt;= 2015)</t>
  </si>
  <si>
    <t>HOSPITAL LOS VILOS</t>
  </si>
  <si>
    <t>COMBARBALÁ</t>
  </si>
  <si>
    <r>
      <t xml:space="preserve">Indicador COMGES 3.3 Porcentaje de casos resueltos de Lista de Espera de Consulta Nueva de Especialidad Odontologíca </t>
    </r>
    <r>
      <rPr>
        <b/>
        <sz val="14"/>
        <color rgb="FFFF0000"/>
        <rFont val="Calibri"/>
        <family val="2"/>
      </rPr>
      <t>(Excluye Ortodoncia)</t>
    </r>
    <r>
      <rPr>
        <b/>
        <sz val="14"/>
        <color indexed="8"/>
        <rFont val="Calibri"/>
        <family val="2"/>
      </rPr>
      <t>, ingresadas con fecha igual o anterior al 31 de diciembre del 2014.</t>
    </r>
  </si>
  <si>
    <r>
      <t>Meta Nacional al 2018.-</t>
    </r>
    <r>
      <rPr>
        <sz val="14"/>
        <color theme="1"/>
        <rFont val="Calibri"/>
        <family val="2"/>
        <scheme val="minor"/>
      </rPr>
      <t xml:space="preserve">  Resolver el 100% de la Lista de Espera por Consulta Nueva de Especialidad Odontologica </t>
    </r>
    <r>
      <rPr>
        <sz val="14"/>
        <color rgb="FFFF0000"/>
        <rFont val="Calibri"/>
        <family val="2"/>
        <scheme val="minor"/>
      </rPr>
      <t>(Excluye Ortodoncia)</t>
    </r>
    <r>
      <rPr>
        <sz val="14"/>
        <color theme="1"/>
        <rFont val="Calibri"/>
        <family val="2"/>
        <scheme val="minor"/>
      </rPr>
      <t xml:space="preserve"> de personas Ingresadas con fecha igual o anterior al 31.12.2014</t>
    </r>
  </si>
  <si>
    <t>3.2 TOTAL</t>
  </si>
  <si>
    <t>3.1 TOTAL</t>
  </si>
  <si>
    <t>3.3 TOTAL</t>
  </si>
  <si>
    <t>CESFAM PEDRO AGUIRRE CERDA</t>
  </si>
  <si>
    <t>CORTE 21/11/2018</t>
  </si>
  <si>
    <t>FECHA CORTE 29-11-2018</t>
  </si>
  <si>
    <t>Corte 29-11-2018</t>
  </si>
  <si>
    <t>CONSULTORIO EMILIO SCHAFFHAUSER</t>
  </si>
  <si>
    <t>CESFAM RAUL SILVA HENRIQUEZ</t>
  </si>
  <si>
    <t>CESFAM CARDENAL CARO</t>
  </si>
  <si>
    <t>Lista espera Total IQ por Grupos, corte 29-11-2018</t>
  </si>
  <si>
    <t>Corte 30 de Noviembre de 2018</t>
  </si>
  <si>
    <r>
      <t xml:space="preserve">La Lista espera total a disminuido un </t>
    </r>
    <r>
      <rPr>
        <b/>
        <sz val="11"/>
        <color rgb="FF00B050"/>
        <rFont val="Calibri"/>
        <family val="2"/>
        <scheme val="minor"/>
      </rPr>
      <t>5%,</t>
    </r>
    <r>
      <rPr>
        <sz val="11"/>
        <rFont val="Calibri"/>
        <family val="2"/>
        <scheme val="minor"/>
      </rPr>
      <t xml:space="preserve"> con respecto a la Lista espera inicial del año 2018, pero aumento en un </t>
    </r>
    <r>
      <rPr>
        <b/>
        <sz val="11"/>
        <color rgb="FF00B050"/>
        <rFont val="Calibri"/>
        <family val="2"/>
        <scheme val="minor"/>
      </rPr>
      <t>3,7%</t>
    </r>
    <r>
      <rPr>
        <sz val="11"/>
        <rFont val="Calibri"/>
        <family val="2"/>
        <scheme val="minor"/>
      </rPr>
      <t xml:space="preserve"> respecyto al mes anterior.Se</t>
    </r>
    <r>
      <rPr>
        <sz val="11"/>
        <color theme="1"/>
        <rFont val="Calibri"/>
        <family val="2"/>
        <scheme val="minor"/>
      </rPr>
      <t xml:space="preserve"> evidencia una disminucion en los años anteriores lo cual va deacuerdo al COMGES, que aportan con el 1,53%.
- El </t>
    </r>
    <r>
      <rPr>
        <b/>
        <sz val="11"/>
        <color theme="4"/>
        <rFont val="Calibri"/>
        <family val="2"/>
        <scheme val="minor"/>
      </rPr>
      <t>50,43%</t>
    </r>
    <r>
      <rPr>
        <sz val="11"/>
        <color theme="1"/>
        <rFont val="Calibri"/>
        <family val="2"/>
        <scheme val="minor"/>
      </rPr>
      <t xml:space="preserve"> del total de las Ordenes de atencoion de IQ, estan derivadas al Hospital de Coquimbo, seguido por un </t>
    </r>
    <r>
      <rPr>
        <b/>
        <sz val="11"/>
        <color theme="4"/>
        <rFont val="Calibri"/>
        <family val="2"/>
        <scheme val="minor"/>
      </rPr>
      <t>21,89% al</t>
    </r>
    <r>
      <rPr>
        <sz val="11"/>
        <color theme="1"/>
        <rFont val="Calibri"/>
        <family val="2"/>
        <scheme val="minor"/>
      </rPr>
      <t xml:space="preserve"> Hospital de Ovalle, y un 20,18</t>
    </r>
    <r>
      <rPr>
        <b/>
        <sz val="11"/>
        <color theme="4"/>
        <rFont val="Calibri"/>
        <family val="2"/>
        <scheme val="minor"/>
      </rPr>
      <t xml:space="preserve"> % </t>
    </r>
    <r>
      <rPr>
        <sz val="11"/>
        <color theme="1"/>
        <rFont val="Calibri"/>
        <family val="2"/>
        <scheme val="minor"/>
      </rPr>
      <t>del Hospital de la Serena y 5,97</t>
    </r>
    <r>
      <rPr>
        <b/>
        <sz val="11"/>
        <color theme="4"/>
        <rFont val="Calibri"/>
        <family val="2"/>
        <scheme val="minor"/>
      </rPr>
      <t xml:space="preserve">% </t>
    </r>
    <r>
      <rPr>
        <sz val="11"/>
        <color theme="1"/>
        <rFont val="Calibri"/>
        <family val="2"/>
        <scheme val="minor"/>
      </rPr>
      <t xml:space="preserve">Hospital de Illapel. También aparecen en este monitoreo la espera de Cirugias menores,a  resolver por establecimientos de APS, lo que corresponden al </t>
    </r>
    <r>
      <rPr>
        <b/>
        <sz val="11"/>
        <color rgb="FF00B050"/>
        <rFont val="Calibri"/>
        <family val="2"/>
        <scheme val="minor"/>
      </rPr>
      <t>1,53%.</t>
    </r>
  </si>
  <si>
    <r>
      <t>Con respecto al año anterior, se obesrva una disminucion de un</t>
    </r>
    <r>
      <rPr>
        <b/>
        <sz val="11"/>
        <color rgb="FF00B050"/>
        <rFont val="Calibri"/>
        <family val="2"/>
        <scheme val="minor"/>
      </rPr>
      <t xml:space="preserve"> 35%</t>
    </r>
    <r>
      <rPr>
        <sz val="11"/>
        <color theme="1"/>
        <rFont val="Calibri"/>
        <family val="2"/>
        <scheme val="minor"/>
      </rPr>
      <t xml:space="preserve"> las GO retrazadas, en el mismo mes de año.
Con respecto al mes anterior, se evidencia una disminucion de un </t>
    </r>
    <r>
      <rPr>
        <b/>
        <sz val="11"/>
        <color rgb="FF00B050"/>
        <rFont val="Calibri"/>
        <family val="2"/>
        <scheme val="minor"/>
      </rPr>
      <t>43%</t>
    </r>
    <r>
      <rPr>
        <sz val="11"/>
        <color theme="1"/>
        <rFont val="Calibri"/>
        <family val="2"/>
        <scheme val="minor"/>
      </rPr>
      <t xml:space="preserve"> de las GO Retrasadas. </t>
    </r>
  </si>
  <si>
    <r>
      <t xml:space="preserve">El </t>
    </r>
    <r>
      <rPr>
        <b/>
        <sz val="11"/>
        <color rgb="FF00B050"/>
        <rFont val="Calibri"/>
        <family val="2"/>
        <scheme val="minor"/>
      </rPr>
      <t>85,3%</t>
    </r>
    <r>
      <rPr>
        <sz val="11"/>
        <color theme="1"/>
        <rFont val="Calibri"/>
        <family val="2"/>
        <scheme val="minor"/>
      </rPr>
      <t xml:space="preserve"> de las GO Retrasadas en el corte, corresponde a los establecimientos de Mayor Complejidad, destacandose el Hospital La Serena con un </t>
    </r>
    <r>
      <rPr>
        <b/>
        <sz val="11"/>
        <color rgb="FF00B050"/>
        <rFont val="Calibri"/>
        <family val="2"/>
        <scheme val="minor"/>
      </rPr>
      <t>78%</t>
    </r>
    <r>
      <rPr>
        <sz val="11"/>
        <color theme="1"/>
        <rFont val="Calibri"/>
        <family val="2"/>
        <scheme val="minor"/>
      </rPr>
      <t xml:space="preserve"> Regional</t>
    </r>
  </si>
  <si>
    <r>
      <t>Los PS Vicios de Refraccion y  Ortesis, lideran la LE regional, abarcando el</t>
    </r>
    <r>
      <rPr>
        <b/>
        <sz val="11"/>
        <color rgb="FF00B050"/>
        <rFont val="Calibri"/>
        <family val="2"/>
        <scheme val="minor"/>
      </rPr>
      <t xml:space="preserve"> 42,77%</t>
    </r>
    <r>
      <rPr>
        <sz val="11"/>
        <color theme="1"/>
        <rFont val="Calibri"/>
        <family val="2"/>
        <scheme val="minor"/>
      </rPr>
      <t xml:space="preserve"> de las GO Retrasadas</t>
    </r>
  </si>
  <si>
    <r>
      <rPr>
        <b/>
        <sz val="11"/>
        <color rgb="FFFF0000"/>
        <rFont val="Calibri"/>
        <family val="2"/>
        <scheme val="minor"/>
      </rPr>
      <t>90%</t>
    </r>
    <r>
      <rPr>
        <sz val="11"/>
        <color theme="1"/>
        <rFont val="Calibri"/>
        <family val="2"/>
        <scheme val="minor"/>
      </rPr>
      <t xml:space="preserve"> de cumplimiento de COMGES, reduccion de tiempos de epera de Consultas Nuevas de Especialidad, de un universo total de </t>
    </r>
    <r>
      <rPr>
        <b/>
        <sz val="11"/>
        <color rgb="FF00B050"/>
        <rFont val="Calibri"/>
        <family val="2"/>
        <scheme val="minor"/>
      </rPr>
      <t>17.070</t>
    </r>
    <r>
      <rPr>
        <sz val="11"/>
        <color theme="1"/>
        <rFont val="Calibri"/>
        <family val="2"/>
        <scheme val="minor"/>
      </rPr>
      <t xml:space="preserve">, lo cual esta bajo el </t>
    </r>
    <r>
      <rPr>
        <b/>
        <sz val="11"/>
        <color rgb="FFFF0000"/>
        <rFont val="Calibri"/>
        <family val="2"/>
        <scheme val="minor"/>
      </rPr>
      <t>91,6%</t>
    </r>
    <r>
      <rPr>
        <sz val="11"/>
        <color theme="1"/>
        <rFont val="Calibri"/>
        <family val="2"/>
        <scheme val="minor"/>
      </rPr>
      <t xml:space="preserve"> que se espera a Noviembre.</t>
    </r>
  </si>
  <si>
    <t>Corte 12-12-2018</t>
  </si>
  <si>
    <t>UAPO  J. Pablo II</t>
  </si>
  <si>
    <r>
      <t xml:space="preserve">La Lista espera total a aumentado un </t>
    </r>
    <r>
      <rPr>
        <b/>
        <sz val="11"/>
        <color rgb="FFFF0000"/>
        <rFont val="Calibri"/>
        <family val="2"/>
        <scheme val="minor"/>
      </rPr>
      <t>9,2%</t>
    </r>
    <r>
      <rPr>
        <sz val="11"/>
        <color theme="1"/>
        <rFont val="Calibri"/>
        <family val="2"/>
        <scheme val="minor"/>
      </rPr>
      <t xml:space="preserve"> comparado con las SIC en espera de inicio de año, sin embargo se evidencia una </t>
    </r>
    <r>
      <rPr>
        <b/>
        <sz val="11"/>
        <color rgb="FF00B050"/>
        <rFont val="Calibri"/>
        <family val="2"/>
        <scheme val="minor"/>
      </rPr>
      <t>disminucion en espera de años anteriores</t>
    </r>
    <r>
      <rPr>
        <sz val="11"/>
        <color theme="1"/>
        <rFont val="Calibri"/>
        <family val="2"/>
        <scheme val="minor"/>
      </rPr>
      <t xml:space="preserve"> lo cual va deacuerdo al COMGES.
- El </t>
    </r>
    <r>
      <rPr>
        <b/>
        <sz val="11"/>
        <color theme="4"/>
        <rFont val="Calibri"/>
        <family val="2"/>
        <scheme val="minor"/>
      </rPr>
      <t>84,84%</t>
    </r>
    <r>
      <rPr>
        <sz val="11"/>
        <color theme="1"/>
        <rFont val="Calibri"/>
        <family val="2"/>
        <scheme val="minor"/>
      </rPr>
      <t xml:space="preserve"> del total de las SIC, estan derivada a los Establecimientos Autogestionados, quedando pendientes</t>
    </r>
    <r>
      <rPr>
        <b/>
        <sz val="11"/>
        <color rgb="FF00B050"/>
        <rFont val="Calibri"/>
        <family val="2"/>
        <scheme val="minor"/>
      </rPr>
      <t xml:space="preserve"> 9,6%</t>
    </r>
    <r>
      <rPr>
        <sz val="11"/>
        <color theme="1"/>
        <rFont val="Calibri"/>
        <family val="2"/>
        <scheme val="minor"/>
      </rPr>
      <t xml:space="preserve">, del COMGES a cumplir (1488 SIC)
- el </t>
    </r>
    <r>
      <rPr>
        <b/>
        <sz val="11"/>
        <color theme="4"/>
        <rFont val="Calibri"/>
        <family val="2"/>
        <scheme val="minor"/>
      </rPr>
      <t>5,92%</t>
    </r>
    <r>
      <rPr>
        <sz val="11"/>
        <color theme="1"/>
        <rFont val="Calibri"/>
        <family val="2"/>
        <scheme val="minor"/>
      </rPr>
      <t xml:space="preserve"> de las SIC estan derivadas a Establecimientos de mediana complejidad, aun en espera</t>
    </r>
    <r>
      <rPr>
        <b/>
        <sz val="11"/>
        <color rgb="FF00B050"/>
        <rFont val="Calibri"/>
        <family val="2"/>
        <scheme val="minor"/>
      </rPr>
      <t xml:space="preserve"> 7,95 %</t>
    </r>
    <r>
      <rPr>
        <sz val="11"/>
        <rFont val="Calibri"/>
        <family val="2"/>
        <scheme val="minor"/>
      </rPr>
      <t xml:space="preserve"> rdel COMGES a cumplir (54 SIC)</t>
    </r>
    <r>
      <rPr>
        <sz val="11"/>
        <color theme="1"/>
        <rFont val="Calibri"/>
        <family val="2"/>
        <scheme val="minor"/>
      </rPr>
      <t xml:space="preserve">
- el </t>
    </r>
    <r>
      <rPr>
        <b/>
        <sz val="11"/>
        <color theme="4"/>
        <rFont val="Calibri"/>
        <family val="2"/>
        <scheme val="minor"/>
      </rPr>
      <t xml:space="preserve">1,48% </t>
    </r>
    <r>
      <rPr>
        <sz val="11"/>
        <rFont val="Calibri"/>
        <family val="2"/>
        <scheme val="minor"/>
      </rPr>
      <t>de las SIC son derivadas a Hospitales de menor complejidad, asociadas al Programa de Resolutividad en APS, pendiente un</t>
    </r>
    <r>
      <rPr>
        <b/>
        <sz val="11"/>
        <color rgb="FF00B050"/>
        <rFont val="Calibri"/>
        <family val="2"/>
        <scheme val="minor"/>
      </rPr>
      <t xml:space="preserve"> 33,3%</t>
    </r>
    <r>
      <rPr>
        <sz val="11"/>
        <rFont val="Calibri"/>
        <family val="2"/>
        <scheme val="minor"/>
      </rPr>
      <t xml:space="preserve"> del COMGES a cumplir (69 SIC).</t>
    </r>
    <r>
      <rPr>
        <sz val="11"/>
        <color theme="1"/>
        <rFont val="Calibri"/>
        <family val="2"/>
        <scheme val="minor"/>
      </rPr>
      <t xml:space="preserve">
- el</t>
    </r>
    <r>
      <rPr>
        <sz val="11"/>
        <color theme="4"/>
        <rFont val="Calibri"/>
        <family val="2"/>
        <scheme val="minor"/>
      </rPr>
      <t xml:space="preserve"> </t>
    </r>
    <r>
      <rPr>
        <b/>
        <sz val="11"/>
        <color theme="4"/>
        <rFont val="Calibri"/>
        <family val="2"/>
        <scheme val="minor"/>
      </rPr>
      <t>7,75%</t>
    </r>
    <r>
      <rPr>
        <sz val="11"/>
        <color theme="1"/>
        <rFont val="Calibri"/>
        <family val="2"/>
        <scheme val="minor"/>
      </rPr>
      <t xml:space="preserve"> de las SIC son derivadas a Estanlecimientos de APS, asociadas al programa de Resolutividad en APS, de las cuales quedan 1</t>
    </r>
    <r>
      <rPr>
        <b/>
        <sz val="11"/>
        <color rgb="FF00B050"/>
        <rFont val="Calibri"/>
        <family val="2"/>
        <scheme val="minor"/>
      </rPr>
      <t>4,95%</t>
    </r>
    <r>
      <rPr>
        <sz val="11"/>
        <color theme="1"/>
        <rFont val="Calibri"/>
        <family val="2"/>
        <scheme val="minor"/>
      </rPr>
      <t xml:space="preserve"> del COGES a cumplir (103 SIC)</t>
    </r>
  </si>
  <si>
    <t>Corte 12-12-2018 LE SIGTE</t>
  </si>
  <si>
    <t>Corte 12-12-2018 Egresos SIGTE</t>
  </si>
  <si>
    <r>
      <rPr>
        <b/>
        <sz val="11"/>
        <color rgb="FF00B050"/>
        <rFont val="Calibri"/>
        <family val="2"/>
        <scheme val="minor"/>
      </rPr>
      <t>94,3%</t>
    </r>
    <r>
      <rPr>
        <sz val="11"/>
        <color theme="1"/>
        <rFont val="Calibri"/>
        <family val="2"/>
        <scheme val="minor"/>
      </rPr>
      <t xml:space="preserve"> de cumplimiento de COMGES, reduccion de tiempos de epera de Consultas Nuevas Odontologicas, de un universo total de 1358.</t>
    </r>
  </si>
  <si>
    <r>
      <t xml:space="preserve">La Lista espera total a dieminuido un </t>
    </r>
    <r>
      <rPr>
        <b/>
        <sz val="11"/>
        <color rgb="FF00B050"/>
        <rFont val="Calibri"/>
        <family val="2"/>
        <scheme val="minor"/>
      </rPr>
      <t xml:space="preserve">3% </t>
    </r>
    <r>
      <rPr>
        <sz val="11"/>
        <rFont val="Calibri"/>
        <family val="2"/>
        <scheme val="minor"/>
      </rPr>
      <t xml:space="preserve">a pesar de SIC generadas </t>
    </r>
    <r>
      <rPr>
        <sz val="11"/>
        <color theme="1"/>
        <rFont val="Calibri"/>
        <family val="2"/>
        <scheme val="minor"/>
      </rPr>
      <t xml:space="preserve">este año 2018, sin embargo se evidencia una </t>
    </r>
    <r>
      <rPr>
        <b/>
        <sz val="11"/>
        <color rgb="FF00B050"/>
        <rFont val="Calibri"/>
        <family val="2"/>
        <scheme val="minor"/>
      </rPr>
      <t>disminucion en los años anteriores</t>
    </r>
    <r>
      <rPr>
        <sz val="11"/>
        <color theme="1"/>
        <rFont val="Calibri"/>
        <family val="2"/>
        <scheme val="minor"/>
      </rPr>
      <t xml:space="preserve"> lo cual va deacuerdo al COMGES.
- El </t>
    </r>
    <r>
      <rPr>
        <b/>
        <sz val="11"/>
        <color theme="4"/>
        <rFont val="Calibri"/>
        <family val="2"/>
        <scheme val="minor"/>
      </rPr>
      <t>82,56%</t>
    </r>
    <r>
      <rPr>
        <sz val="11"/>
        <color theme="1"/>
        <rFont val="Calibri"/>
        <family val="2"/>
        <scheme val="minor"/>
      </rPr>
      <t xml:space="preserve"> del total de las SIC, estan derivada a los Establecimientos Autogestionados, quedando pendientes</t>
    </r>
    <r>
      <rPr>
        <b/>
        <sz val="11"/>
        <color rgb="FF00B050"/>
        <rFont val="Calibri"/>
        <family val="2"/>
        <scheme val="minor"/>
      </rPr>
      <t xml:space="preserve"> 3,1%</t>
    </r>
    <r>
      <rPr>
        <sz val="11"/>
        <color theme="1"/>
        <rFont val="Calibri"/>
        <family val="2"/>
        <scheme val="minor"/>
      </rPr>
      <t>, del COMGES a cumplir.(36 SIC)
- el</t>
    </r>
    <r>
      <rPr>
        <b/>
        <sz val="11"/>
        <color theme="4"/>
        <rFont val="Calibri"/>
        <family val="2"/>
        <scheme val="minor"/>
      </rPr>
      <t xml:space="preserve"> 6,6%</t>
    </r>
    <r>
      <rPr>
        <sz val="11"/>
        <color theme="1"/>
        <rFont val="Calibri"/>
        <family val="2"/>
        <scheme val="minor"/>
      </rPr>
      <t xml:space="preserve"> de las SIC estan derivadas a Establecimientos de mediana complejidad, aun en espera</t>
    </r>
    <r>
      <rPr>
        <b/>
        <sz val="11"/>
        <color rgb="FF00B050"/>
        <rFont val="Calibri"/>
        <family val="2"/>
        <scheme val="minor"/>
      </rPr>
      <t xml:space="preserve"> 1 %</t>
    </r>
    <r>
      <rPr>
        <sz val="11"/>
        <rFont val="Calibri"/>
        <family val="2"/>
        <scheme val="minor"/>
      </rPr>
      <t xml:space="preserve"> rdel COMGES a cumplir.(12 SIC)</t>
    </r>
    <r>
      <rPr>
        <sz val="11"/>
        <color theme="1"/>
        <rFont val="Calibri"/>
        <family val="2"/>
        <scheme val="minor"/>
      </rPr>
      <t xml:space="preserve">
- el </t>
    </r>
    <r>
      <rPr>
        <b/>
        <sz val="11"/>
        <color theme="4"/>
        <rFont val="Calibri"/>
        <family val="2"/>
        <scheme val="minor"/>
      </rPr>
      <t xml:space="preserve">0,43% </t>
    </r>
    <r>
      <rPr>
        <sz val="11"/>
        <rFont val="Calibri"/>
        <family val="2"/>
        <scheme val="minor"/>
      </rPr>
      <t>de las SIC son derivadas a Hospitales de menor complejidad, asociadas al Programa de Resolutividad en APS, con COMGES ya cumplido.</t>
    </r>
    <r>
      <rPr>
        <sz val="11"/>
        <color theme="1"/>
        <rFont val="Calibri"/>
        <family val="2"/>
        <scheme val="minor"/>
      </rPr>
      <t xml:space="preserve">
- el</t>
    </r>
    <r>
      <rPr>
        <sz val="11"/>
        <color theme="4"/>
        <rFont val="Calibri"/>
        <family val="2"/>
        <scheme val="minor"/>
      </rPr>
      <t xml:space="preserve"> </t>
    </r>
    <r>
      <rPr>
        <b/>
        <sz val="11"/>
        <color theme="4"/>
        <rFont val="Calibri"/>
        <family val="2"/>
        <scheme val="minor"/>
      </rPr>
      <t>10,41%</t>
    </r>
    <r>
      <rPr>
        <sz val="11"/>
        <color theme="1"/>
        <rFont val="Calibri"/>
        <family val="2"/>
        <scheme val="minor"/>
      </rPr>
      <t xml:space="preserve"> de las SIC son derivadas a Estanlecimientos de APS, asociadas al programa de Resolutividad en APS, de las cuales quedan</t>
    </r>
    <r>
      <rPr>
        <b/>
        <sz val="11"/>
        <color rgb="FF00B050"/>
        <rFont val="Calibri"/>
        <family val="2"/>
        <scheme val="minor"/>
      </rPr>
      <t xml:space="preserve"> 2,6%</t>
    </r>
    <r>
      <rPr>
        <sz val="11"/>
        <color theme="1"/>
        <rFont val="Calibri"/>
        <family val="2"/>
        <scheme val="minor"/>
      </rPr>
      <t xml:space="preserve"> del COMGES a cumplir (30 SIC)</t>
    </r>
  </si>
  <si>
    <r>
      <rPr>
        <b/>
        <sz val="11"/>
        <color rgb="FF00B050"/>
        <rFont val="Calibri"/>
        <family val="2"/>
        <scheme val="minor"/>
      </rPr>
      <t>94,3%</t>
    </r>
    <r>
      <rPr>
        <sz val="11"/>
        <color theme="1"/>
        <rFont val="Calibri"/>
        <family val="2"/>
        <scheme val="minor"/>
      </rPr>
      <t xml:space="preserve"> de cumplimiento de COMGES , reducción de Tiempos de Espera de Intervenciones quirurgicas, en espera del año 2015.
- Plan Ministerial N°1, se logra cumplimiento de un </t>
    </r>
    <r>
      <rPr>
        <b/>
        <sz val="11"/>
        <color rgb="FF00B050"/>
        <rFont val="Calibri"/>
        <family val="2"/>
        <scheme val="minor"/>
      </rPr>
      <t>127%</t>
    </r>
    <r>
      <rPr>
        <sz val="11"/>
        <color theme="1"/>
        <rFont val="Calibri"/>
        <family val="2"/>
        <scheme val="minor"/>
      </rPr>
      <t xml:space="preserve"> de ejecución.
- Plan Ministerila N° 2, cumpiendo un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rgb="FF00B050"/>
        <rFont val="Calibri"/>
        <family val="2"/>
        <scheme val="minor"/>
      </rPr>
      <t>55,3%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</si>
</sst>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8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</font>
    <font>
      <b/>
      <sz val="11"/>
      <color rgb="FFFF0000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Calibri"/>
      <family val="2"/>
    </font>
    <font>
      <b/>
      <sz val="9"/>
      <color indexed="8"/>
      <name val="Calibri"/>
      <family val="2"/>
    </font>
    <font>
      <sz val="10"/>
      <color indexed="8"/>
      <name val="Calibri"/>
      <family val="2"/>
    </font>
    <font>
      <b/>
      <sz val="8"/>
      <name val="Arial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FFFF"/>
      <name val="Calibri"/>
      <family val="2"/>
    </font>
    <font>
      <sz val="10"/>
      <name val="Calibri"/>
      <family val="2"/>
    </font>
    <font>
      <sz val="11"/>
      <color indexed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</font>
    <font>
      <b/>
      <sz val="10"/>
      <color rgb="FFFFFFFF"/>
      <name val="Calibri"/>
      <family val="2"/>
    </font>
    <font>
      <sz val="10"/>
      <color indexed="8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i/>
      <sz val="12"/>
      <name val="Calibri"/>
      <family val="2"/>
    </font>
    <font>
      <b/>
      <sz val="10"/>
      <color theme="0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rgb="FF0070C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1"/>
      <color indexed="8"/>
      <name val="Calibri"/>
      <family val="2"/>
      <scheme val="minor"/>
    </font>
    <font>
      <b/>
      <sz val="10"/>
      <color rgb="FFFFFF00"/>
      <name val="Calibri"/>
      <family val="2"/>
    </font>
    <font>
      <b/>
      <u/>
      <sz val="11"/>
      <color rgb="FFFF0000"/>
      <name val="Calibri"/>
      <family val="2"/>
    </font>
    <font>
      <sz val="9"/>
      <color indexed="8"/>
      <name val="Calibri"/>
      <family val="2"/>
    </font>
    <font>
      <b/>
      <sz val="14"/>
      <color theme="4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i/>
      <sz val="11"/>
      <color indexed="8"/>
      <name val="Calibri"/>
      <family val="2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b/>
      <sz val="14"/>
      <color indexed="8"/>
      <name val="Calibri"/>
      <family val="2"/>
    </font>
    <font>
      <b/>
      <sz val="14"/>
      <color rgb="FFFF0000"/>
      <name val="Calibri"/>
      <family val="2"/>
    </font>
    <font>
      <sz val="14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theme="4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6"/>
      <color rgb="FF00B050"/>
      <name val="Calibri"/>
      <family val="2"/>
      <scheme val="minor"/>
    </font>
  </fonts>
  <fills count="6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16365C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8" tint="0.79998168889431442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theme="4" tint="0.79998168889431442"/>
      </patternFill>
    </fill>
    <fill>
      <patternFill patternType="solid">
        <fgColor theme="3" tint="0.39997558519241921"/>
        <bgColor theme="0" tint="-0.14999847407452621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-0.249977111117893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theme="4" tint="0.79998168889431442"/>
      </patternFill>
    </fill>
    <fill>
      <patternFill patternType="solid">
        <fgColor theme="0" tint="-0.34998626667073579"/>
        <bgColor theme="4" tint="0.79998168889431442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0.14999847407452621"/>
        <bgColor theme="4" tint="0.79998168889431442"/>
      </patternFill>
    </fill>
    <fill>
      <patternFill patternType="solid">
        <fgColor rgb="FFFFFF00"/>
        <bgColor theme="4" tint="0.79998168889431442"/>
      </patternFill>
    </fill>
    <fill>
      <patternFill patternType="solid">
        <fgColor theme="7" tint="0.79998168889431442"/>
        <bgColor theme="4" tint="0.79998168889431442"/>
      </patternFill>
    </fill>
    <fill>
      <patternFill patternType="solid">
        <fgColor rgb="FFFFFF99"/>
        <bgColor theme="4" tint="0.79998168889431442"/>
      </patternFill>
    </fill>
    <fill>
      <patternFill patternType="solid">
        <fgColor theme="5" tint="0.59999389629810485"/>
        <bgColor theme="4" tint="0.79998168889431442"/>
      </patternFill>
    </fill>
    <fill>
      <patternFill patternType="solid">
        <fgColor theme="1" tint="0.499984740745262"/>
        <bgColor theme="4" tint="0.79998168889431442"/>
      </patternFill>
    </fill>
    <fill>
      <patternFill patternType="solid">
        <fgColor rgb="FFFF0000"/>
        <bgColor theme="4" tint="0.79998168889431442"/>
      </patternFill>
    </fill>
  </fills>
  <borders count="1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double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 style="double">
        <color indexed="64"/>
      </left>
      <right style="thin">
        <color indexed="64"/>
      </right>
      <top style="double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double">
        <color indexed="64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hair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double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indexed="64"/>
      </left>
      <right style="hair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/>
      <right/>
      <top style="hair">
        <color auto="1"/>
      </top>
      <bottom style="double">
        <color indexed="64"/>
      </bottom>
      <diagonal/>
    </border>
  </borders>
  <cellStyleXfs count="46">
    <xf numFmtId="0" fontId="0" fillId="0" borderId="0"/>
    <xf numFmtId="9" fontId="1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2" applyNumberFormat="0" applyFill="0" applyAlignment="0" applyProtection="0"/>
    <xf numFmtId="0" fontId="26" fillId="0" borderId="43" applyNumberFormat="0" applyFill="0" applyAlignment="0" applyProtection="0"/>
    <xf numFmtId="0" fontId="27" fillId="0" borderId="44" applyNumberFormat="0" applyFill="0" applyAlignment="0" applyProtection="0"/>
    <xf numFmtId="0" fontId="27" fillId="0" borderId="0" applyNumberFormat="0" applyFill="0" applyBorder="0" applyAlignment="0" applyProtection="0"/>
    <xf numFmtId="0" fontId="28" fillId="14" borderId="0" applyNumberFormat="0" applyBorder="0" applyAlignment="0" applyProtection="0"/>
    <xf numFmtId="0" fontId="29" fillId="15" borderId="0" applyNumberFormat="0" applyBorder="0" applyAlignment="0" applyProtection="0"/>
    <xf numFmtId="0" fontId="30" fillId="17" borderId="45" applyNumberFormat="0" applyAlignment="0" applyProtection="0"/>
    <xf numFmtId="0" fontId="31" fillId="18" borderId="46" applyNumberFormat="0" applyAlignment="0" applyProtection="0"/>
    <xf numFmtId="0" fontId="32" fillId="18" borderId="45" applyNumberFormat="0" applyAlignment="0" applyProtection="0"/>
    <xf numFmtId="0" fontId="33" fillId="0" borderId="47" applyNumberFormat="0" applyFill="0" applyAlignment="0" applyProtection="0"/>
    <xf numFmtId="0" fontId="21" fillId="19" borderId="48" applyNumberFormat="0" applyAlignment="0" applyProtection="0"/>
    <xf numFmtId="0" fontId="2" fillId="0" borderId="0" applyNumberFormat="0" applyFill="0" applyBorder="0" applyAlignment="0" applyProtection="0"/>
    <xf numFmtId="0" fontId="1" fillId="20" borderId="49" applyNumberFormat="0" applyFont="0" applyAlignment="0" applyProtection="0"/>
    <xf numFmtId="0" fontId="34" fillId="0" borderId="0" applyNumberFormat="0" applyFill="0" applyBorder="0" applyAlignment="0" applyProtection="0"/>
    <xf numFmtId="0" fontId="3" fillId="0" borderId="50" applyNumberFormat="0" applyFill="0" applyAlignment="0" applyProtection="0"/>
    <xf numFmtId="0" fontId="3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3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3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5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35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35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36" fillId="16" borderId="0" applyNumberFormat="0" applyBorder="0" applyAlignment="0" applyProtection="0"/>
    <xf numFmtId="0" fontId="35" fillId="24" borderId="0" applyNumberFormat="0" applyBorder="0" applyAlignment="0" applyProtection="0"/>
    <xf numFmtId="0" fontId="35" fillId="28" borderId="0" applyNumberFormat="0" applyBorder="0" applyAlignment="0" applyProtection="0"/>
    <xf numFmtId="0" fontId="35" fillId="32" borderId="0" applyNumberFormat="0" applyBorder="0" applyAlignment="0" applyProtection="0"/>
    <xf numFmtId="0" fontId="35" fillId="36" borderId="0" applyNumberFormat="0" applyBorder="0" applyAlignment="0" applyProtection="0"/>
    <xf numFmtId="0" fontId="35" fillId="40" borderId="0" applyNumberFormat="0" applyBorder="0" applyAlignment="0" applyProtection="0"/>
    <xf numFmtId="0" fontId="35" fillId="44" borderId="0" applyNumberFormat="0" applyBorder="0" applyAlignment="0" applyProtection="0"/>
    <xf numFmtId="0" fontId="40" fillId="0" borderId="0"/>
    <xf numFmtId="9" fontId="40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85">
    <xf numFmtId="0" fontId="0" fillId="0" borderId="0" xfId="0"/>
    <xf numFmtId="3" fontId="0" fillId="0" borderId="0" xfId="0" applyNumberFormat="1"/>
    <xf numFmtId="0" fontId="3" fillId="0" borderId="7" xfId="0" applyFont="1" applyFill="1" applyBorder="1"/>
    <xf numFmtId="0" fontId="0" fillId="0" borderId="0" xfId="0" applyFill="1" applyBorder="1"/>
    <xf numFmtId="0" fontId="0" fillId="0" borderId="7" xfId="0" applyFill="1" applyBorder="1"/>
    <xf numFmtId="0" fontId="0" fillId="0" borderId="0" xfId="0" applyFont="1" applyFill="1" applyBorder="1"/>
    <xf numFmtId="0" fontId="6" fillId="0" borderId="7" xfId="0" applyFont="1" applyFill="1" applyBorder="1"/>
    <xf numFmtId="0" fontId="3" fillId="0" borderId="0" xfId="0" applyFont="1" applyFill="1" applyBorder="1"/>
    <xf numFmtId="0" fontId="7" fillId="0" borderId="0" xfId="0" applyFont="1"/>
    <xf numFmtId="0" fontId="0" fillId="0" borderId="0" xfId="0" applyAlignment="1">
      <alignment horizontal="center"/>
    </xf>
    <xf numFmtId="0" fontId="0" fillId="0" borderId="0" xfId="0" applyFont="1"/>
    <xf numFmtId="0" fontId="0" fillId="0" borderId="1" xfId="0" applyBorder="1" applyAlignment="1">
      <alignment horizontal="center"/>
    </xf>
    <xf numFmtId="0" fontId="3" fillId="0" borderId="0" xfId="0" applyFont="1"/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6" fillId="0" borderId="0" xfId="0" applyFont="1"/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21" fillId="11" borderId="1" xfId="0" applyFont="1" applyFill="1" applyBorder="1" applyAlignment="1">
      <alignment horizontal="center" vertical="center"/>
    </xf>
    <xf numFmtId="0" fontId="21" fillId="12" borderId="1" xfId="0" applyFont="1" applyFill="1" applyBorder="1" applyAlignment="1">
      <alignment horizontal="center" vertical="center" wrapText="1"/>
    </xf>
    <xf numFmtId="0" fontId="21" fillId="13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left"/>
    </xf>
    <xf numFmtId="0" fontId="22" fillId="5" borderId="1" xfId="0" applyNumberFormat="1" applyFont="1" applyFill="1" applyBorder="1" applyAlignment="1">
      <alignment horizontal="center"/>
    </xf>
    <xf numFmtId="10" fontId="22" fillId="1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NumberFormat="1" applyFont="1" applyBorder="1" applyAlignment="1">
      <alignment horizontal="center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0" fillId="0" borderId="0" xfId="0"/>
    <xf numFmtId="0" fontId="37" fillId="0" borderId="0" xfId="0" applyFont="1" applyAlignment="1">
      <alignment wrapText="1"/>
    </xf>
    <xf numFmtId="0" fontId="10" fillId="0" borderId="52" xfId="0" applyFont="1" applyFill="1" applyBorder="1" applyAlignment="1">
      <alignment horizontal="center"/>
    </xf>
    <xf numFmtId="3" fontId="0" fillId="4" borderId="25" xfId="0" applyNumberFormat="1" applyFill="1" applyBorder="1" applyAlignment="1">
      <alignment horizontal="center" vertical="center"/>
    </xf>
    <xf numFmtId="0" fontId="0" fillId="4" borderId="25" xfId="0" applyNumberFormat="1" applyFill="1" applyBorder="1" applyAlignment="1">
      <alignment horizontal="center" vertical="center"/>
    </xf>
    <xf numFmtId="3" fontId="0" fillId="4" borderId="12" xfId="0" applyNumberFormat="1" applyFill="1" applyBorder="1" applyAlignment="1">
      <alignment horizontal="center" vertical="center"/>
    </xf>
    <xf numFmtId="0" fontId="0" fillId="4" borderId="12" xfId="0" applyNumberFormat="1" applyFill="1" applyBorder="1" applyAlignment="1">
      <alignment horizontal="center" vertical="center"/>
    </xf>
    <xf numFmtId="0" fontId="7" fillId="4" borderId="12" xfId="0" applyNumberFormat="1" applyFont="1" applyFill="1" applyBorder="1" applyAlignment="1">
      <alignment horizontal="center"/>
    </xf>
    <xf numFmtId="3" fontId="0" fillId="0" borderId="26" xfId="0" applyNumberFormat="1" applyBorder="1" applyAlignment="1">
      <alignment horizontal="center" vertical="center"/>
    </xf>
    <xf numFmtId="0" fontId="0" fillId="0" borderId="26" xfId="0" applyNumberFormat="1" applyBorder="1" applyAlignment="1">
      <alignment horizontal="center" vertical="center"/>
    </xf>
    <xf numFmtId="0" fontId="7" fillId="0" borderId="26" xfId="0" applyNumberFormat="1" applyFont="1" applyBorder="1" applyAlignment="1">
      <alignment horizontal="center"/>
    </xf>
    <xf numFmtId="0" fontId="10" fillId="4" borderId="53" xfId="0" applyFont="1" applyFill="1" applyBorder="1" applyAlignment="1">
      <alignment horizontal="center" vertical="center"/>
    </xf>
    <xf numFmtId="0" fontId="10" fillId="4" borderId="37" xfId="0" applyFont="1" applyFill="1" applyBorder="1" applyAlignment="1">
      <alignment horizontal="center" vertical="center"/>
    </xf>
    <xf numFmtId="0" fontId="10" fillId="0" borderId="54" xfId="0" applyFont="1" applyFill="1" applyBorder="1" applyAlignment="1">
      <alignment horizontal="center" vertical="center"/>
    </xf>
    <xf numFmtId="3" fontId="0" fillId="4" borderId="58" xfId="0" applyNumberFormat="1" applyFill="1" applyBorder="1" applyAlignment="1">
      <alignment horizontal="center" vertical="center"/>
    </xf>
    <xf numFmtId="3" fontId="0" fillId="4" borderId="11" xfId="0" applyNumberFormat="1" applyFill="1" applyBorder="1" applyAlignment="1">
      <alignment horizontal="center" vertical="center"/>
    </xf>
    <xf numFmtId="0" fontId="7" fillId="4" borderId="13" xfId="0" applyNumberFormat="1" applyFont="1" applyFill="1" applyBorder="1" applyAlignment="1">
      <alignment horizontal="center"/>
    </xf>
    <xf numFmtId="3" fontId="0" fillId="0" borderId="59" xfId="0" applyNumberFormat="1" applyBorder="1" applyAlignment="1">
      <alignment horizontal="center" vertical="center"/>
    </xf>
    <xf numFmtId="0" fontId="7" fillId="0" borderId="60" xfId="0" applyNumberFormat="1" applyFont="1" applyBorder="1" applyAlignment="1">
      <alignment horizontal="center"/>
    </xf>
    <xf numFmtId="3" fontId="0" fillId="0" borderId="54" xfId="0" applyNumberFormat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 wrapText="1"/>
    </xf>
    <xf numFmtId="3" fontId="0" fillId="4" borderId="64" xfId="0" applyNumberFormat="1" applyFill="1" applyBorder="1" applyAlignment="1">
      <alignment horizontal="center" vertical="center"/>
    </xf>
    <xf numFmtId="3" fontId="0" fillId="4" borderId="32" xfId="0" applyNumberFormat="1" applyFill="1" applyBorder="1" applyAlignment="1">
      <alignment horizontal="center" vertical="center"/>
    </xf>
    <xf numFmtId="3" fontId="0" fillId="0" borderId="65" xfId="0" applyNumberFormat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/>
    </xf>
    <xf numFmtId="0" fontId="7" fillId="4" borderId="9" xfId="0" applyNumberFormat="1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11" fillId="4" borderId="20" xfId="0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11" fillId="8" borderId="55" xfId="0" applyFont="1" applyFill="1" applyBorder="1" applyAlignment="1">
      <alignment horizontal="center" vertical="center" wrapText="1"/>
    </xf>
    <xf numFmtId="3" fontId="5" fillId="8" borderId="68" xfId="0" applyNumberFormat="1" applyFont="1" applyFill="1" applyBorder="1" applyAlignment="1">
      <alignment horizontal="center" vertical="center"/>
    </xf>
    <xf numFmtId="0" fontId="7" fillId="4" borderId="8" xfId="0" applyNumberFormat="1" applyFont="1" applyFill="1" applyBorder="1" applyAlignment="1">
      <alignment horizontal="center"/>
    </xf>
    <xf numFmtId="0" fontId="7" fillId="4" borderId="10" xfId="0" applyNumberFormat="1" applyFont="1" applyFill="1" applyBorder="1" applyAlignment="1">
      <alignment horizontal="center"/>
    </xf>
    <xf numFmtId="0" fontId="0" fillId="0" borderId="14" xfId="0" applyBorder="1"/>
    <xf numFmtId="0" fontId="0" fillId="0" borderId="11" xfId="0" applyBorder="1"/>
    <xf numFmtId="0" fontId="21" fillId="11" borderId="8" xfId="0" applyFont="1" applyFill="1" applyBorder="1" applyAlignment="1">
      <alignment horizontal="center" vertical="center"/>
    </xf>
    <xf numFmtId="0" fontId="21" fillId="12" borderId="9" xfId="0" applyFont="1" applyFill="1" applyBorder="1" applyAlignment="1">
      <alignment horizontal="center" vertical="center" wrapText="1"/>
    </xf>
    <xf numFmtId="0" fontId="21" fillId="13" borderId="10" xfId="0" applyFont="1" applyFill="1" applyBorder="1" applyAlignment="1">
      <alignment horizontal="center" vertical="center"/>
    </xf>
    <xf numFmtId="0" fontId="22" fillId="5" borderId="11" xfId="0" applyFont="1" applyFill="1" applyBorder="1" applyAlignment="1">
      <alignment horizontal="left"/>
    </xf>
    <xf numFmtId="0" fontId="22" fillId="5" borderId="12" xfId="0" applyNumberFormat="1" applyFont="1" applyFill="1" applyBorder="1" applyAlignment="1">
      <alignment horizontal="center"/>
    </xf>
    <xf numFmtId="10" fontId="22" fillId="10" borderId="13" xfId="0" applyNumberFormat="1" applyFont="1" applyFill="1" applyBorder="1" applyAlignment="1">
      <alignment horizontal="center"/>
    </xf>
    <xf numFmtId="0" fontId="0" fillId="0" borderId="11" xfId="0" applyFill="1" applyBorder="1"/>
    <xf numFmtId="0" fontId="0" fillId="0" borderId="12" xfId="0" applyFill="1" applyBorder="1" applyAlignment="1">
      <alignment horizontal="center"/>
    </xf>
    <xf numFmtId="10" fontId="22" fillId="10" borderId="16" xfId="0" applyNumberFormat="1" applyFont="1" applyFill="1" applyBorder="1" applyAlignment="1">
      <alignment horizontal="center"/>
    </xf>
    <xf numFmtId="0" fontId="41" fillId="0" borderId="11" xfId="0" applyFont="1" applyFill="1" applyBorder="1" applyAlignment="1">
      <alignment horizontal="left"/>
    </xf>
    <xf numFmtId="0" fontId="2" fillId="0" borderId="12" xfId="0" applyNumberFormat="1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14" fillId="2" borderId="0" xfId="0" applyFont="1" applyFill="1" applyBorder="1" applyAlignment="1">
      <alignment horizontal="center" vertical="center"/>
    </xf>
    <xf numFmtId="0" fontId="42" fillId="5" borderId="1" xfId="0" applyFont="1" applyFill="1" applyBorder="1" applyAlignment="1">
      <alignment horizontal="left"/>
    </xf>
    <xf numFmtId="0" fontId="43" fillId="46" borderId="1" xfId="0" applyFont="1" applyFill="1" applyBorder="1" applyAlignment="1">
      <alignment horizontal="left"/>
    </xf>
    <xf numFmtId="0" fontId="42" fillId="46" borderId="1" xfId="0" applyNumberFormat="1" applyFont="1" applyFill="1" applyBorder="1" applyAlignment="1">
      <alignment horizontal="center"/>
    </xf>
    <xf numFmtId="10" fontId="22" fillId="10" borderId="4" xfId="0" applyNumberFormat="1" applyFont="1" applyFill="1" applyBorder="1" applyAlignment="1">
      <alignment horizontal="center"/>
    </xf>
    <xf numFmtId="0" fontId="0" fillId="45" borderId="1" xfId="0" applyFill="1" applyBorder="1"/>
    <xf numFmtId="0" fontId="0" fillId="45" borderId="1" xfId="0" applyFill="1" applyBorder="1" applyAlignment="1">
      <alignment horizontal="center"/>
    </xf>
    <xf numFmtId="0" fontId="47" fillId="0" borderId="0" xfId="0" applyFont="1" applyProtection="1"/>
    <xf numFmtId="9" fontId="8" fillId="2" borderId="1" xfId="44" applyFont="1" applyFill="1" applyBorder="1" applyAlignment="1" applyProtection="1">
      <alignment horizontal="center"/>
    </xf>
    <xf numFmtId="9" fontId="49" fillId="0" borderId="1" xfId="44" applyFont="1" applyFill="1" applyBorder="1" applyAlignment="1" applyProtection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76" xfId="0" applyBorder="1"/>
    <xf numFmtId="0" fontId="7" fillId="0" borderId="0" xfId="0" applyFont="1" applyBorder="1"/>
    <xf numFmtId="0" fontId="7" fillId="0" borderId="76" xfId="0" applyFont="1" applyBorder="1"/>
    <xf numFmtId="9" fontId="49" fillId="48" borderId="1" xfId="44" applyFont="1" applyFill="1" applyBorder="1" applyAlignment="1" applyProtection="1">
      <alignment horizontal="center" vertical="center"/>
    </xf>
    <xf numFmtId="0" fontId="52" fillId="0" borderId="0" xfId="0" applyFont="1"/>
    <xf numFmtId="0" fontId="53" fillId="0" borderId="0" xfId="0" applyFont="1"/>
    <xf numFmtId="0" fontId="0" fillId="0" borderId="8" xfId="0" applyBorder="1" applyAlignment="1">
      <alignment horizontal="left" indent="1"/>
    </xf>
    <xf numFmtId="0" fontId="0" fillId="0" borderId="11" xfId="0" applyBorder="1" applyAlignment="1">
      <alignment horizontal="left" indent="1"/>
    </xf>
    <xf numFmtId="0" fontId="3" fillId="49" borderId="35" xfId="0" applyFont="1" applyFill="1" applyBorder="1"/>
    <xf numFmtId="0" fontId="3" fillId="49" borderId="84" xfId="0" applyFont="1" applyFill="1" applyBorder="1" applyAlignment="1">
      <alignment horizontal="center" vertical="center"/>
    </xf>
    <xf numFmtId="0" fontId="3" fillId="49" borderId="85" xfId="0" applyFont="1" applyFill="1" applyBorder="1" applyAlignment="1">
      <alignment horizontal="center" vertical="center"/>
    </xf>
    <xf numFmtId="0" fontId="3" fillId="49" borderId="86" xfId="0" applyFont="1" applyFill="1" applyBorder="1" applyAlignment="1">
      <alignment horizontal="center" vertical="center"/>
    </xf>
    <xf numFmtId="0" fontId="3" fillId="49" borderId="24" xfId="0" applyFont="1" applyFill="1" applyBorder="1" applyAlignment="1">
      <alignment horizontal="center" vertical="center"/>
    </xf>
    <xf numFmtId="0" fontId="3" fillId="49" borderId="87" xfId="0" applyFont="1" applyFill="1" applyBorder="1" applyAlignment="1">
      <alignment horizontal="center" vertical="center"/>
    </xf>
    <xf numFmtId="0" fontId="3" fillId="49" borderId="88" xfId="0" applyFont="1" applyFill="1" applyBorder="1"/>
    <xf numFmtId="0" fontId="0" fillId="0" borderId="89" xfId="0" applyBorder="1" applyAlignment="1">
      <alignment horizontal="left"/>
    </xf>
    <xf numFmtId="0" fontId="0" fillId="0" borderId="90" xfId="0" applyNumberFormat="1" applyBorder="1" applyAlignment="1">
      <alignment horizontal="center" vertical="center"/>
    </xf>
    <xf numFmtId="0" fontId="0" fillId="0" borderId="91" xfId="0" applyNumberFormat="1" applyBorder="1" applyAlignment="1">
      <alignment horizontal="center" vertical="center"/>
    </xf>
    <xf numFmtId="0" fontId="0" fillId="0" borderId="92" xfId="0" applyNumberFormat="1" applyBorder="1" applyAlignment="1">
      <alignment horizontal="center" vertical="center"/>
    </xf>
    <xf numFmtId="0" fontId="0" fillId="0" borderId="93" xfId="0" applyNumberFormat="1" applyBorder="1" applyAlignment="1">
      <alignment horizontal="center" vertical="center"/>
    </xf>
    <xf numFmtId="9" fontId="3" fillId="9" borderId="31" xfId="1" applyFont="1" applyFill="1" applyBorder="1" applyAlignment="1">
      <alignment horizontal="center" vertical="center"/>
    </xf>
    <xf numFmtId="9" fontId="0" fillId="0" borderId="0" xfId="1" applyFont="1" applyAlignment="1">
      <alignment horizontal="left"/>
    </xf>
    <xf numFmtId="0" fontId="0" fillId="0" borderId="21" xfId="0" applyBorder="1" applyAlignment="1">
      <alignment horizontal="left"/>
    </xf>
    <xf numFmtId="0" fontId="0" fillId="0" borderId="94" xfId="0" applyNumberFormat="1" applyBorder="1" applyAlignment="1">
      <alignment horizontal="center" vertical="center"/>
    </xf>
    <xf numFmtId="0" fontId="0" fillId="0" borderId="95" xfId="0" applyNumberFormat="1" applyBorder="1" applyAlignment="1">
      <alignment horizontal="center" vertical="center"/>
    </xf>
    <xf numFmtId="0" fontId="0" fillId="0" borderId="96" xfId="0" applyNumberFormat="1" applyBorder="1" applyAlignment="1">
      <alignment horizontal="center" vertical="center"/>
    </xf>
    <xf numFmtId="0" fontId="0" fillId="0" borderId="70" xfId="0" applyNumberFormat="1" applyBorder="1" applyAlignment="1">
      <alignment horizontal="center" vertical="center"/>
    </xf>
    <xf numFmtId="9" fontId="3" fillId="9" borderId="32" xfId="1" applyFont="1" applyFill="1" applyBorder="1" applyAlignment="1">
      <alignment horizontal="center" vertical="center"/>
    </xf>
    <xf numFmtId="0" fontId="0" fillId="0" borderId="20" xfId="0" applyBorder="1" applyAlignment="1">
      <alignment horizontal="left" indent="1"/>
    </xf>
    <xf numFmtId="0" fontId="0" fillId="0" borderId="21" xfId="0" applyBorder="1" applyAlignment="1">
      <alignment horizontal="left" indent="1"/>
    </xf>
    <xf numFmtId="0" fontId="0" fillId="0" borderId="97" xfId="0" applyBorder="1" applyAlignment="1">
      <alignment horizontal="left"/>
    </xf>
    <xf numFmtId="0" fontId="0" fillId="0" borderId="98" xfId="0" applyNumberFormat="1" applyBorder="1" applyAlignment="1">
      <alignment horizontal="center" vertical="center"/>
    </xf>
    <xf numFmtId="0" fontId="0" fillId="0" borderId="99" xfId="0" applyNumberFormat="1" applyBorder="1" applyAlignment="1">
      <alignment horizontal="center" vertical="center"/>
    </xf>
    <xf numFmtId="0" fontId="0" fillId="0" borderId="100" xfId="0" applyNumberFormat="1" applyBorder="1" applyAlignment="1">
      <alignment horizontal="center" vertical="center"/>
    </xf>
    <xf numFmtId="0" fontId="0" fillId="0" borderId="101" xfId="0" applyNumberFormat="1" applyBorder="1" applyAlignment="1">
      <alignment horizontal="center" vertical="center"/>
    </xf>
    <xf numFmtId="9" fontId="3" fillId="9" borderId="34" xfId="1" applyFont="1" applyFill="1" applyBorder="1" applyAlignment="1">
      <alignment horizontal="center" vertical="center"/>
    </xf>
    <xf numFmtId="0" fontId="3" fillId="49" borderId="35" xfId="0" applyFont="1" applyFill="1" applyBorder="1" applyAlignment="1">
      <alignment horizontal="left"/>
    </xf>
    <xf numFmtId="0" fontId="3" fillId="49" borderId="84" xfId="0" applyNumberFormat="1" applyFont="1" applyFill="1" applyBorder="1" applyAlignment="1">
      <alignment horizontal="center" vertical="center"/>
    </xf>
    <xf numFmtId="0" fontId="3" fillId="49" borderId="85" xfId="0" applyNumberFormat="1" applyFont="1" applyFill="1" applyBorder="1" applyAlignment="1">
      <alignment horizontal="center" vertical="center"/>
    </xf>
    <xf numFmtId="0" fontId="3" fillId="49" borderId="86" xfId="0" applyNumberFormat="1" applyFont="1" applyFill="1" applyBorder="1" applyAlignment="1">
      <alignment horizontal="center" vertical="center"/>
    </xf>
    <xf numFmtId="0" fontId="3" fillId="49" borderId="24" xfId="0" applyNumberFormat="1" applyFont="1" applyFill="1" applyBorder="1" applyAlignment="1">
      <alignment horizontal="center" vertical="center"/>
    </xf>
    <xf numFmtId="9" fontId="3" fillId="49" borderId="87" xfId="1" applyFont="1" applyFill="1" applyBorder="1" applyAlignment="1">
      <alignment horizontal="center" vertical="center"/>
    </xf>
    <xf numFmtId="0" fontId="0" fillId="0" borderId="22" xfId="0" applyBorder="1" applyAlignment="1">
      <alignment horizontal="left" indent="1"/>
    </xf>
    <xf numFmtId="0" fontId="3" fillId="0" borderId="0" xfId="0" applyFont="1" applyFill="1" applyBorder="1" applyAlignment="1">
      <alignment horizontal="left" indent="1"/>
    </xf>
    <xf numFmtId="0" fontId="3" fillId="51" borderId="18" xfId="0" applyNumberFormat="1" applyFont="1" applyFill="1" applyBorder="1"/>
    <xf numFmtId="0" fontId="3" fillId="51" borderId="19" xfId="0" applyNumberFormat="1" applyFont="1" applyFill="1" applyBorder="1"/>
    <xf numFmtId="0" fontId="0" fillId="0" borderId="12" xfId="0" applyNumberFormat="1" applyBorder="1" applyAlignment="1">
      <alignment horizontal="center"/>
    </xf>
    <xf numFmtId="0" fontId="0" fillId="0" borderId="37" xfId="0" applyNumberFormat="1" applyBorder="1" applyAlignment="1">
      <alignment horizontal="center"/>
    </xf>
    <xf numFmtId="0" fontId="3" fillId="9" borderId="35" xfId="0" applyFont="1" applyFill="1" applyBorder="1" applyAlignment="1">
      <alignment horizontal="left"/>
    </xf>
    <xf numFmtId="0" fontId="3" fillId="9" borderId="20" xfId="0" applyFont="1" applyFill="1" applyBorder="1" applyAlignment="1">
      <alignment horizontal="left"/>
    </xf>
    <xf numFmtId="0" fontId="3" fillId="49" borderId="81" xfId="0" applyFont="1" applyFill="1" applyBorder="1" applyAlignment="1">
      <alignment horizontal="center" vertical="center"/>
    </xf>
    <xf numFmtId="0" fontId="0" fillId="0" borderId="69" xfId="0" applyNumberFormat="1" applyBorder="1" applyAlignment="1">
      <alignment horizontal="center" vertical="center"/>
    </xf>
    <xf numFmtId="0" fontId="3" fillId="9" borderId="68" xfId="0" applyNumberFormat="1" applyFont="1" applyFill="1" applyBorder="1" applyAlignment="1">
      <alignment horizontal="center" vertical="center"/>
    </xf>
    <xf numFmtId="0" fontId="3" fillId="49" borderId="111" xfId="0" applyFont="1" applyFill="1" applyBorder="1"/>
    <xf numFmtId="0" fontId="3" fillId="49" borderId="112" xfId="0" applyFont="1" applyFill="1" applyBorder="1" applyAlignment="1">
      <alignment horizontal="center" vertical="center"/>
    </xf>
    <xf numFmtId="0" fontId="3" fillId="49" borderId="113" xfId="0" applyFont="1" applyFill="1" applyBorder="1" applyAlignment="1">
      <alignment horizontal="center" vertical="center"/>
    </xf>
    <xf numFmtId="0" fontId="3" fillId="9" borderId="105" xfId="0" applyFont="1" applyFill="1" applyBorder="1" applyAlignment="1">
      <alignment horizontal="left"/>
    </xf>
    <xf numFmtId="0" fontId="3" fillId="9" borderId="106" xfId="0" applyNumberFormat="1" applyFont="1" applyFill="1" applyBorder="1" applyAlignment="1">
      <alignment horizontal="center" vertical="center"/>
    </xf>
    <xf numFmtId="0" fontId="3" fillId="9" borderId="107" xfId="0" applyNumberFormat="1" applyFont="1" applyFill="1" applyBorder="1" applyAlignment="1">
      <alignment horizontal="center" vertical="center"/>
    </xf>
    <xf numFmtId="0" fontId="0" fillId="0" borderId="109" xfId="0" applyNumberFormat="1" applyBorder="1" applyAlignment="1">
      <alignment horizontal="center" vertical="center"/>
    </xf>
    <xf numFmtId="0" fontId="0" fillId="0" borderId="110" xfId="0" applyNumberFormat="1" applyBorder="1" applyAlignment="1">
      <alignment horizontal="center" vertical="center"/>
    </xf>
    <xf numFmtId="3" fontId="0" fillId="51" borderId="12" xfId="0" applyNumberFormat="1" applyFont="1" applyFill="1" applyBorder="1" applyAlignment="1">
      <alignment horizontal="center"/>
    </xf>
    <xf numFmtId="3" fontId="0" fillId="51" borderId="15" xfId="0" applyNumberFormat="1" applyFont="1" applyFill="1" applyBorder="1" applyAlignment="1">
      <alignment horizontal="center"/>
    </xf>
    <xf numFmtId="3" fontId="0" fillId="51" borderId="13" xfId="0" applyNumberFormat="1" applyFont="1" applyFill="1" applyBorder="1" applyAlignment="1">
      <alignment horizontal="center"/>
    </xf>
    <xf numFmtId="3" fontId="0" fillId="51" borderId="16" xfId="0" applyNumberFormat="1" applyFont="1" applyFill="1" applyBorder="1" applyAlignment="1">
      <alignment horizontal="center"/>
    </xf>
    <xf numFmtId="0" fontId="0" fillId="51" borderId="20" xfId="0" applyFont="1" applyFill="1" applyBorder="1" applyAlignment="1">
      <alignment horizontal="left"/>
    </xf>
    <xf numFmtId="0" fontId="0" fillId="51" borderId="21" xfId="0" applyFont="1" applyFill="1" applyBorder="1" applyAlignment="1">
      <alignment horizontal="left"/>
    </xf>
    <xf numFmtId="0" fontId="0" fillId="51" borderId="22" xfId="0" applyFont="1" applyFill="1" applyBorder="1" applyAlignment="1">
      <alignment horizontal="left"/>
    </xf>
    <xf numFmtId="3" fontId="0" fillId="51" borderId="33" xfId="0" applyNumberFormat="1" applyFont="1" applyFill="1" applyBorder="1" applyAlignment="1">
      <alignment horizontal="center"/>
    </xf>
    <xf numFmtId="0" fontId="3" fillId="51" borderId="87" xfId="0" applyNumberFormat="1" applyFont="1" applyFill="1" applyBorder="1" applyAlignment="1">
      <alignment horizontal="center"/>
    </xf>
    <xf numFmtId="9" fontId="0" fillId="0" borderId="0" xfId="1" applyNumberFormat="1" applyFont="1" applyFill="1" applyBorder="1"/>
    <xf numFmtId="9" fontId="52" fillId="0" borderId="0" xfId="1" applyFont="1" applyFill="1" applyBorder="1" applyAlignment="1">
      <alignment vertical="center"/>
    </xf>
    <xf numFmtId="3" fontId="3" fillId="51" borderId="31" xfId="0" applyNumberFormat="1" applyFont="1" applyFill="1" applyBorder="1" applyAlignment="1">
      <alignment horizontal="center"/>
    </xf>
    <xf numFmtId="3" fontId="3" fillId="51" borderId="32" xfId="0" applyNumberFormat="1" applyFont="1" applyFill="1" applyBorder="1" applyAlignment="1">
      <alignment horizontal="center"/>
    </xf>
    <xf numFmtId="0" fontId="13" fillId="52" borderId="8" xfId="0" applyFont="1" applyFill="1" applyBorder="1" applyAlignment="1">
      <alignment horizontal="left" vertical="center" wrapText="1"/>
    </xf>
    <xf numFmtId="0" fontId="13" fillId="52" borderId="14" xfId="0" applyFont="1" applyFill="1" applyBorder="1" applyAlignment="1">
      <alignment horizontal="left" vertical="center" wrapText="1"/>
    </xf>
    <xf numFmtId="3" fontId="0" fillId="52" borderId="15" xfId="0" applyNumberFormat="1" applyFont="1" applyFill="1" applyBorder="1" applyAlignment="1">
      <alignment horizontal="center"/>
    </xf>
    <xf numFmtId="3" fontId="0" fillId="52" borderId="38" xfId="0" applyNumberFormat="1" applyFont="1" applyFill="1" applyBorder="1" applyAlignment="1">
      <alignment horizontal="center"/>
    </xf>
    <xf numFmtId="3" fontId="0" fillId="52" borderId="9" xfId="0" applyNumberFormat="1" applyFont="1" applyFill="1" applyBorder="1" applyAlignment="1">
      <alignment horizontal="center"/>
    </xf>
    <xf numFmtId="3" fontId="0" fillId="52" borderId="36" xfId="0" applyNumberFormat="1" applyFont="1" applyFill="1" applyBorder="1" applyAlignment="1">
      <alignment horizontal="center"/>
    </xf>
    <xf numFmtId="0" fontId="11" fillId="4" borderId="20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164" fontId="8" fillId="2" borderId="1" xfId="44" applyNumberFormat="1" applyFont="1" applyFill="1" applyBorder="1" applyAlignment="1" applyProtection="1">
      <alignment horizontal="center" vertical="center"/>
    </xf>
    <xf numFmtId="164" fontId="48" fillId="48" borderId="1" xfId="44" applyNumberFormat="1" applyFont="1" applyFill="1" applyBorder="1" applyAlignment="1" applyProtection="1">
      <alignment horizontal="center" vertical="center"/>
    </xf>
    <xf numFmtId="0" fontId="0" fillId="49" borderId="20" xfId="0" applyFont="1" applyFill="1" applyBorder="1" applyAlignment="1">
      <alignment horizontal="left"/>
    </xf>
    <xf numFmtId="0" fontId="0" fillId="49" borderId="105" xfId="0" applyNumberFormat="1" applyFont="1" applyFill="1" applyBorder="1" applyAlignment="1">
      <alignment horizontal="center" vertical="center"/>
    </xf>
    <xf numFmtId="0" fontId="0" fillId="49" borderId="106" xfId="0" applyNumberFormat="1" applyFont="1" applyFill="1" applyBorder="1" applyAlignment="1">
      <alignment horizontal="center" vertical="center"/>
    </xf>
    <xf numFmtId="0" fontId="0" fillId="50" borderId="107" xfId="0" applyNumberFormat="1" applyFont="1" applyFill="1" applyBorder="1" applyAlignment="1">
      <alignment horizontal="center" vertical="center"/>
    </xf>
    <xf numFmtId="0" fontId="3" fillId="49" borderId="68" xfId="0" applyNumberFormat="1" applyFont="1" applyFill="1" applyBorder="1" applyAlignment="1">
      <alignment horizontal="center" vertical="center"/>
    </xf>
    <xf numFmtId="0" fontId="0" fillId="49" borderId="21" xfId="0" applyFont="1" applyFill="1" applyBorder="1" applyAlignment="1">
      <alignment horizontal="left"/>
    </xf>
    <xf numFmtId="0" fontId="0" fillId="49" borderId="94" xfId="0" applyNumberFormat="1" applyFont="1" applyFill="1" applyBorder="1" applyAlignment="1">
      <alignment horizontal="center" vertical="center"/>
    </xf>
    <xf numFmtId="0" fontId="0" fillId="49" borderId="95" xfId="0" applyNumberFormat="1" applyFont="1" applyFill="1" applyBorder="1" applyAlignment="1">
      <alignment horizontal="center" vertical="center"/>
    </xf>
    <xf numFmtId="0" fontId="0" fillId="49" borderId="96" xfId="0" applyNumberFormat="1" applyFont="1" applyFill="1" applyBorder="1" applyAlignment="1">
      <alignment horizontal="center" vertical="center"/>
    </xf>
    <xf numFmtId="0" fontId="3" fillId="49" borderId="70" xfId="0" applyNumberFormat="1" applyFont="1" applyFill="1" applyBorder="1" applyAlignment="1">
      <alignment horizontal="center" vertical="center"/>
    </xf>
    <xf numFmtId="0" fontId="0" fillId="49" borderId="22" xfId="0" applyFont="1" applyFill="1" applyBorder="1" applyAlignment="1">
      <alignment horizontal="left"/>
    </xf>
    <xf numFmtId="0" fontId="0" fillId="49" borderId="109" xfId="0" applyNumberFormat="1" applyFont="1" applyFill="1" applyBorder="1" applyAlignment="1">
      <alignment horizontal="center" vertical="center"/>
    </xf>
    <xf numFmtId="0" fontId="0" fillId="49" borderId="110" xfId="0" applyNumberFormat="1" applyFont="1" applyFill="1" applyBorder="1" applyAlignment="1">
      <alignment horizontal="center" vertical="center"/>
    </xf>
    <xf numFmtId="0" fontId="0" fillId="49" borderId="69" xfId="0" applyNumberFormat="1" applyFont="1" applyFill="1" applyBorder="1" applyAlignment="1">
      <alignment horizontal="center" vertical="center"/>
    </xf>
    <xf numFmtId="0" fontId="0" fillId="0" borderId="94" xfId="0" applyBorder="1" applyAlignment="1">
      <alignment horizontal="center"/>
    </xf>
    <xf numFmtId="0" fontId="0" fillId="0" borderId="108" xfId="0" applyBorder="1" applyAlignment="1">
      <alignment horizontal="center"/>
    </xf>
    <xf numFmtId="0" fontId="3" fillId="9" borderId="105" xfId="0" applyFont="1" applyFill="1" applyBorder="1" applyAlignment="1">
      <alignment horizontal="center"/>
    </xf>
    <xf numFmtId="3" fontId="0" fillId="53" borderId="9" xfId="0" applyNumberFormat="1" applyFont="1" applyFill="1" applyBorder="1" applyAlignment="1">
      <alignment horizontal="center"/>
    </xf>
    <xf numFmtId="3" fontId="0" fillId="4" borderId="9" xfId="0" applyNumberFormat="1" applyFont="1" applyFill="1" applyBorder="1" applyAlignment="1">
      <alignment horizontal="center"/>
    </xf>
    <xf numFmtId="3" fontId="0" fillId="53" borderId="38" xfId="0" applyNumberFormat="1" applyFont="1" applyFill="1" applyBorder="1" applyAlignment="1">
      <alignment horizontal="center"/>
    </xf>
    <xf numFmtId="3" fontId="0" fillId="4" borderId="8" xfId="0" applyNumberFormat="1" applyFont="1" applyFill="1" applyBorder="1" applyAlignment="1">
      <alignment horizontal="center"/>
    </xf>
    <xf numFmtId="3" fontId="0" fillId="52" borderId="16" xfId="0" applyNumberFormat="1" applyFont="1" applyFill="1" applyBorder="1" applyAlignment="1">
      <alignment horizontal="center"/>
    </xf>
    <xf numFmtId="3" fontId="0" fillId="53" borderId="36" xfId="0" applyNumberFormat="1" applyFont="1" applyFill="1" applyBorder="1" applyAlignment="1">
      <alignment horizontal="center"/>
    </xf>
    <xf numFmtId="3" fontId="0" fillId="53" borderId="16" xfId="0" applyNumberFormat="1" applyFont="1" applyFill="1" applyBorder="1" applyAlignment="1">
      <alignment horizontal="center"/>
    </xf>
    <xf numFmtId="3" fontId="0" fillId="52" borderId="11" xfId="0" applyNumberFormat="1" applyFill="1" applyBorder="1" applyAlignment="1">
      <alignment horizontal="center" vertical="center"/>
    </xf>
    <xf numFmtId="3" fontId="0" fillId="53" borderId="10" xfId="0" applyNumberFormat="1" applyFont="1" applyFill="1" applyBorder="1" applyAlignment="1">
      <alignment horizontal="center"/>
    </xf>
    <xf numFmtId="3" fontId="0" fillId="52" borderId="10" xfId="0" applyNumberFormat="1" applyFont="1" applyFill="1" applyBorder="1" applyAlignment="1">
      <alignment horizontal="center"/>
    </xf>
    <xf numFmtId="3" fontId="0" fillId="53" borderId="8" xfId="0" applyNumberFormat="1" applyFont="1" applyFill="1" applyBorder="1" applyAlignment="1">
      <alignment horizontal="center"/>
    </xf>
    <xf numFmtId="0" fontId="0" fillId="52" borderId="12" xfId="0" applyNumberFormat="1" applyFill="1" applyBorder="1" applyAlignment="1">
      <alignment horizontal="center" vertical="center"/>
    </xf>
    <xf numFmtId="0" fontId="13" fillId="53" borderId="22" xfId="0" applyFont="1" applyFill="1" applyBorder="1" applyAlignment="1">
      <alignment horizontal="left" vertical="center" wrapText="1"/>
    </xf>
    <xf numFmtId="0" fontId="0" fillId="52" borderId="25" xfId="0" applyNumberFormat="1" applyFill="1" applyBorder="1" applyAlignment="1">
      <alignment horizontal="center" vertical="center"/>
    </xf>
    <xf numFmtId="0" fontId="13" fillId="53" borderId="20" xfId="0" applyFont="1" applyFill="1" applyBorder="1" applyAlignment="1">
      <alignment horizontal="left" vertical="center" wrapText="1"/>
    </xf>
    <xf numFmtId="3" fontId="0" fillId="52" borderId="12" xfId="0" applyNumberForma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left" vertical="center" wrapText="1"/>
    </xf>
    <xf numFmtId="3" fontId="0" fillId="52" borderId="25" xfId="0" applyNumberFormat="1" applyFill="1" applyBorder="1" applyAlignment="1">
      <alignment horizontal="center" vertical="center"/>
    </xf>
    <xf numFmtId="3" fontId="0" fillId="53" borderId="15" xfId="0" applyNumberFormat="1" applyFont="1" applyFill="1" applyBorder="1" applyAlignment="1">
      <alignment horizontal="center"/>
    </xf>
    <xf numFmtId="3" fontId="0" fillId="52" borderId="37" xfId="0" applyNumberFormat="1" applyFill="1" applyBorder="1" applyAlignment="1">
      <alignment horizontal="center" vertical="center"/>
    </xf>
    <xf numFmtId="3" fontId="0" fillId="52" borderId="58" xfId="0" applyNumberFormat="1" applyFill="1" applyBorder="1" applyAlignment="1">
      <alignment horizontal="center" vertical="center"/>
    </xf>
    <xf numFmtId="3" fontId="0" fillId="53" borderId="14" xfId="0" applyNumberFormat="1" applyFont="1" applyFill="1" applyBorder="1" applyAlignment="1">
      <alignment horizontal="center"/>
    </xf>
    <xf numFmtId="3" fontId="0" fillId="52" borderId="53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16" fillId="0" borderId="0" xfId="0" applyFont="1"/>
    <xf numFmtId="0" fontId="37" fillId="0" borderId="0" xfId="0" applyFont="1" applyAlignment="1">
      <alignment wrapText="1"/>
    </xf>
    <xf numFmtId="0" fontId="23" fillId="0" borderId="0" xfId="0" applyFont="1" applyAlignment="1">
      <alignment horizontal="center"/>
    </xf>
    <xf numFmtId="0" fontId="21" fillId="11" borderId="1" xfId="0" applyFont="1" applyFill="1" applyBorder="1" applyAlignment="1">
      <alignment horizontal="center" vertical="center"/>
    </xf>
    <xf numFmtId="0" fontId="21" fillId="12" borderId="1" xfId="0" applyFont="1" applyFill="1" applyBorder="1" applyAlignment="1">
      <alignment horizontal="center" vertical="center" wrapText="1"/>
    </xf>
    <xf numFmtId="0" fontId="21" fillId="13" borderId="1" xfId="0" applyFont="1" applyFill="1" applyBorder="1" applyAlignment="1">
      <alignment horizontal="center" vertical="center"/>
    </xf>
    <xf numFmtId="0" fontId="42" fillId="5" borderId="1" xfId="0" applyFont="1" applyFill="1" applyBorder="1" applyAlignment="1">
      <alignment horizontal="left"/>
    </xf>
    <xf numFmtId="0" fontId="22" fillId="5" borderId="1" xfId="0" applyNumberFormat="1" applyFont="1" applyFill="1" applyBorder="1" applyAlignment="1">
      <alignment horizontal="center"/>
    </xf>
    <xf numFmtId="10" fontId="22" fillId="10" borderId="1" xfId="0" applyNumberFormat="1" applyFont="1" applyFill="1" applyBorder="1" applyAlignment="1">
      <alignment horizontal="center"/>
    </xf>
    <xf numFmtId="0" fontId="44" fillId="0" borderId="0" xfId="0" applyFont="1"/>
    <xf numFmtId="0" fontId="43" fillId="46" borderId="1" xfId="0" applyFont="1" applyFill="1" applyBorder="1" applyAlignment="1">
      <alignment horizontal="left"/>
    </xf>
    <xf numFmtId="0" fontId="42" fillId="46" borderId="1" xfId="0" applyNumberFormat="1" applyFont="1" applyFill="1" applyBorder="1" applyAlignment="1">
      <alignment horizontal="center"/>
    </xf>
    <xf numFmtId="10" fontId="22" fillId="10" borderId="4" xfId="0" applyNumberFormat="1" applyFont="1" applyFill="1" applyBorder="1" applyAlignment="1">
      <alignment horizontal="center"/>
    </xf>
    <xf numFmtId="0" fontId="0" fillId="45" borderId="1" xfId="0" applyFill="1" applyBorder="1"/>
    <xf numFmtId="0" fontId="0" fillId="45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8" fillId="9" borderId="1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left" vertical="center" wrapText="1"/>
    </xf>
    <xf numFmtId="3" fontId="0" fillId="4" borderId="14" xfId="0" applyNumberFormat="1" applyFont="1" applyFill="1" applyBorder="1" applyAlignment="1">
      <alignment horizontal="center"/>
    </xf>
    <xf numFmtId="3" fontId="0" fillId="4" borderId="15" xfId="0" applyNumberFormat="1" applyFont="1" applyFill="1" applyBorder="1" applyAlignment="1">
      <alignment horizontal="center"/>
    </xf>
    <xf numFmtId="3" fontId="3" fillId="52" borderId="68" xfId="0" applyNumberFormat="1" applyFont="1" applyFill="1" applyBorder="1" applyAlignment="1">
      <alignment horizontal="center"/>
    </xf>
    <xf numFmtId="3" fontId="3" fillId="52" borderId="69" xfId="0" applyNumberFormat="1" applyFont="1" applyFill="1" applyBorder="1" applyAlignment="1">
      <alignment horizontal="center"/>
    </xf>
    <xf numFmtId="3" fontId="3" fillId="53" borderId="68" xfId="0" applyNumberFormat="1" applyFont="1" applyFill="1" applyBorder="1" applyAlignment="1">
      <alignment horizontal="center"/>
    </xf>
    <xf numFmtId="3" fontId="3" fillId="53" borderId="69" xfId="0" applyNumberFormat="1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164" fontId="45" fillId="48" borderId="1" xfId="44" applyNumberFormat="1" applyFont="1" applyFill="1" applyBorder="1" applyAlignment="1" applyProtection="1">
      <alignment horizontal="center" vertical="center"/>
    </xf>
    <xf numFmtId="164" fontId="48" fillId="0" borderId="0" xfId="44" applyNumberFormat="1" applyFont="1" applyFill="1" applyBorder="1" applyAlignment="1" applyProtection="1">
      <alignment horizontal="center" vertical="center"/>
    </xf>
    <xf numFmtId="164" fontId="47" fillId="0" borderId="1" xfId="44" applyNumberFormat="1" applyFont="1" applyBorder="1" applyAlignment="1" applyProtection="1">
      <alignment horizontal="center" vertical="center"/>
    </xf>
    <xf numFmtId="164" fontId="47" fillId="4" borderId="1" xfId="44" applyNumberFormat="1" applyFont="1" applyFill="1" applyBorder="1" applyAlignment="1" applyProtection="1">
      <alignment horizontal="center" vertical="center"/>
    </xf>
    <xf numFmtId="0" fontId="3" fillId="9" borderId="84" xfId="0" applyFont="1" applyFill="1" applyBorder="1" applyAlignment="1">
      <alignment horizontal="center"/>
    </xf>
    <xf numFmtId="0" fontId="3" fillId="9" borderId="85" xfId="0" applyNumberFormat="1" applyFont="1" applyFill="1" applyBorder="1" applyAlignment="1">
      <alignment horizontal="center" vertical="center"/>
    </xf>
    <xf numFmtId="0" fontId="3" fillId="9" borderId="86" xfId="0" applyNumberFormat="1" applyFont="1" applyFill="1" applyBorder="1" applyAlignment="1">
      <alignment horizontal="center" vertical="center"/>
    </xf>
    <xf numFmtId="0" fontId="3" fillId="9" borderId="24" xfId="0" applyNumberFormat="1" applyFont="1" applyFill="1" applyBorder="1" applyAlignment="1">
      <alignment horizontal="center" vertical="center"/>
    </xf>
    <xf numFmtId="10" fontId="3" fillId="9" borderId="87" xfId="1" applyNumberFormat="1" applyFont="1" applyFill="1" applyBorder="1" applyAlignment="1">
      <alignment horizontal="center" vertical="center"/>
    </xf>
    <xf numFmtId="3" fontId="0" fillId="55" borderId="12" xfId="0" applyNumberFormat="1" applyFont="1" applyFill="1" applyBorder="1" applyAlignment="1">
      <alignment horizontal="center"/>
    </xf>
    <xf numFmtId="0" fontId="0" fillId="56" borderId="20" xfId="0" applyFont="1" applyFill="1" applyBorder="1" applyAlignment="1">
      <alignment horizontal="left"/>
    </xf>
    <xf numFmtId="0" fontId="0" fillId="56" borderId="21" xfId="0" applyFont="1" applyFill="1" applyBorder="1" applyAlignment="1">
      <alignment horizontal="left"/>
    </xf>
    <xf numFmtId="0" fontId="0" fillId="56" borderId="22" xfId="0" applyFont="1" applyFill="1" applyBorder="1" applyAlignment="1">
      <alignment horizontal="left"/>
    </xf>
    <xf numFmtId="0" fontId="3" fillId="56" borderId="77" xfId="0" applyFont="1" applyFill="1" applyBorder="1"/>
    <xf numFmtId="0" fontId="3" fillId="56" borderId="79" xfId="0" applyFont="1" applyFill="1" applyBorder="1" applyAlignment="1">
      <alignment horizontal="center" vertical="center" wrapText="1"/>
    </xf>
    <xf numFmtId="0" fontId="42" fillId="2" borderId="77" xfId="0" applyFont="1" applyFill="1" applyBorder="1" applyAlignment="1">
      <alignment horizontal="left"/>
    </xf>
    <xf numFmtId="164" fontId="0" fillId="2" borderId="31" xfId="1" applyNumberFormat="1" applyFont="1" applyFill="1" applyBorder="1"/>
    <xf numFmtId="0" fontId="0" fillId="2" borderId="32" xfId="0" applyNumberFormat="1" applyFill="1" applyBorder="1" applyAlignment="1">
      <alignment horizontal="center"/>
    </xf>
    <xf numFmtId="164" fontId="0" fillId="2" borderId="32" xfId="1" applyNumberFormat="1" applyFont="1" applyFill="1" applyBorder="1"/>
    <xf numFmtId="0" fontId="3" fillId="2" borderId="77" xfId="0" applyFont="1" applyFill="1" applyBorder="1" applyAlignment="1">
      <alignment horizontal="left"/>
    </xf>
    <xf numFmtId="0" fontId="0" fillId="2" borderId="13" xfId="0" applyNumberFormat="1" applyFill="1" applyBorder="1" applyAlignment="1">
      <alignment horizontal="center"/>
    </xf>
    <xf numFmtId="9" fontId="0" fillId="2" borderId="31" xfId="1" applyFont="1" applyFill="1" applyBorder="1"/>
    <xf numFmtId="9" fontId="0" fillId="2" borderId="32" xfId="1" applyFont="1" applyFill="1" applyBorder="1"/>
    <xf numFmtId="9" fontId="0" fillId="2" borderId="33" xfId="1" applyFont="1" applyFill="1" applyBorder="1"/>
    <xf numFmtId="0" fontId="3" fillId="2" borderId="79" xfId="0" applyNumberFormat="1" applyFont="1" applyFill="1" applyBorder="1" applyAlignment="1">
      <alignment horizontal="center"/>
    </xf>
    <xf numFmtId="9" fontId="0" fillId="2" borderId="31" xfId="1" applyNumberFormat="1" applyFont="1" applyFill="1" applyBorder="1"/>
    <xf numFmtId="9" fontId="0" fillId="2" borderId="32" xfId="1" applyNumberFormat="1" applyFont="1" applyFill="1" applyBorder="1"/>
    <xf numFmtId="9" fontId="0" fillId="2" borderId="33" xfId="1" applyNumberFormat="1" applyFont="1" applyFill="1" applyBorder="1"/>
    <xf numFmtId="0" fontId="3" fillId="2" borderId="17" xfId="0" applyFont="1" applyFill="1" applyBorder="1" applyAlignment="1">
      <alignment horizontal="left"/>
    </xf>
    <xf numFmtId="0" fontId="3" fillId="2" borderId="19" xfId="0" applyNumberFormat="1" applyFont="1" applyFill="1" applyBorder="1" applyAlignment="1">
      <alignment horizontal="center"/>
    </xf>
    <xf numFmtId="0" fontId="0" fillId="57" borderId="20" xfId="0" applyFont="1" applyFill="1" applyBorder="1" applyAlignment="1">
      <alignment horizontal="left"/>
    </xf>
    <xf numFmtId="0" fontId="0" fillId="57" borderId="21" xfId="0" applyFont="1" applyFill="1" applyBorder="1" applyAlignment="1">
      <alignment horizontal="left"/>
    </xf>
    <xf numFmtId="0" fontId="0" fillId="57" borderId="22" xfId="0" applyFont="1" applyFill="1" applyBorder="1" applyAlignment="1">
      <alignment horizontal="left"/>
    </xf>
    <xf numFmtId="3" fontId="0" fillId="57" borderId="12" xfId="0" applyNumberFormat="1" applyFont="1" applyFill="1" applyBorder="1" applyAlignment="1">
      <alignment horizontal="center"/>
    </xf>
    <xf numFmtId="3" fontId="0" fillId="57" borderId="13" xfId="0" applyNumberFormat="1" applyFont="1" applyFill="1" applyBorder="1" applyAlignment="1">
      <alignment horizontal="center"/>
    </xf>
    <xf numFmtId="3" fontId="0" fillId="57" borderId="15" xfId="0" applyNumberFormat="1" applyFont="1" applyFill="1" applyBorder="1" applyAlignment="1">
      <alignment horizontal="center"/>
    </xf>
    <xf numFmtId="3" fontId="0" fillId="57" borderId="16" xfId="0" applyNumberFormat="1" applyFont="1" applyFill="1" applyBorder="1" applyAlignment="1">
      <alignment horizontal="center"/>
    </xf>
    <xf numFmtId="3" fontId="0" fillId="57" borderId="33" xfId="0" applyNumberFormat="1" applyFont="1" applyFill="1" applyBorder="1" applyAlignment="1">
      <alignment horizontal="center"/>
    </xf>
    <xf numFmtId="3" fontId="3" fillId="57" borderId="32" xfId="0" applyNumberFormat="1" applyFont="1" applyFill="1" applyBorder="1" applyAlignment="1">
      <alignment horizontal="center"/>
    </xf>
    <xf numFmtId="3" fontId="3" fillId="57" borderId="31" xfId="0" applyNumberFormat="1" applyFont="1" applyFill="1" applyBorder="1" applyAlignment="1">
      <alignment horizontal="center"/>
    </xf>
    <xf numFmtId="0" fontId="3" fillId="57" borderId="18" xfId="0" applyNumberFormat="1" applyFont="1" applyFill="1" applyBorder="1"/>
    <xf numFmtId="0" fontId="3" fillId="57" borderId="19" xfId="0" applyNumberFormat="1" applyFont="1" applyFill="1" applyBorder="1"/>
    <xf numFmtId="0" fontId="3" fillId="57" borderId="87" xfId="0" applyNumberFormat="1" applyFont="1" applyFill="1" applyBorder="1" applyAlignment="1">
      <alignment horizontal="center"/>
    </xf>
    <xf numFmtId="0" fontId="3" fillId="58" borderId="17" xfId="0" applyNumberFormat="1" applyFont="1" applyFill="1" applyBorder="1"/>
    <xf numFmtId="0" fontId="3" fillId="58" borderId="18" xfId="0" applyNumberFormat="1" applyFont="1" applyFill="1" applyBorder="1"/>
    <xf numFmtId="0" fontId="3" fillId="58" borderId="19" xfId="0" applyNumberFormat="1" applyFont="1" applyFill="1" applyBorder="1"/>
    <xf numFmtId="0" fontId="3" fillId="58" borderId="24" xfId="0" applyNumberFormat="1" applyFont="1" applyFill="1" applyBorder="1"/>
    <xf numFmtId="0" fontId="0" fillId="58" borderId="20" xfId="0" applyFont="1" applyFill="1" applyBorder="1" applyAlignment="1">
      <alignment horizontal="left"/>
    </xf>
    <xf numFmtId="0" fontId="0" fillId="58" borderId="21" xfId="0" applyFont="1" applyFill="1" applyBorder="1" applyAlignment="1">
      <alignment horizontal="left"/>
    </xf>
    <xf numFmtId="0" fontId="0" fillId="58" borderId="22" xfId="0" applyFont="1" applyFill="1" applyBorder="1" applyAlignment="1">
      <alignment horizontal="left"/>
    </xf>
    <xf numFmtId="3" fontId="35" fillId="0" borderId="0" xfId="0" applyNumberFormat="1" applyFont="1"/>
    <xf numFmtId="3" fontId="0" fillId="52" borderId="115" xfId="0" applyNumberFormat="1" applyFont="1" applyFill="1" applyBorder="1" applyAlignment="1">
      <alignment horizontal="center"/>
    </xf>
    <xf numFmtId="3" fontId="0" fillId="52" borderId="118" xfId="0" applyNumberFormat="1" applyFont="1" applyFill="1" applyBorder="1" applyAlignment="1">
      <alignment horizontal="center"/>
    </xf>
    <xf numFmtId="3" fontId="0" fillId="53" borderId="115" xfId="0" applyNumberFormat="1" applyFont="1" applyFill="1" applyBorder="1" applyAlignment="1">
      <alignment horizontal="center"/>
    </xf>
    <xf numFmtId="3" fontId="0" fillId="53" borderId="118" xfId="0" applyNumberFormat="1" applyFont="1" applyFill="1" applyBorder="1" applyAlignment="1">
      <alignment horizontal="center"/>
    </xf>
    <xf numFmtId="3" fontId="0" fillId="4" borderId="10" xfId="0" applyNumberFormat="1" applyFont="1" applyFill="1" applyBorder="1" applyAlignment="1">
      <alignment horizontal="center"/>
    </xf>
    <xf numFmtId="3" fontId="0" fillId="4" borderId="16" xfId="0" applyNumberFormat="1" applyFont="1" applyFill="1" applyBorder="1" applyAlignment="1">
      <alignment horizontal="center"/>
    </xf>
    <xf numFmtId="165" fontId="42" fillId="2" borderId="78" xfId="45" applyNumberFormat="1" applyFont="1" applyFill="1" applyBorder="1" applyAlignment="1">
      <alignment horizontal="center"/>
    </xf>
    <xf numFmtId="165" fontId="0" fillId="0" borderId="106" xfId="45" applyNumberFormat="1" applyFont="1" applyBorder="1" applyAlignment="1">
      <alignment horizontal="center"/>
    </xf>
    <xf numFmtId="165" fontId="0" fillId="0" borderId="115" xfId="45" applyNumberFormat="1" applyFont="1" applyBorder="1" applyAlignment="1">
      <alignment horizontal="center"/>
    </xf>
    <xf numFmtId="165" fontId="0" fillId="2" borderId="31" xfId="45" applyNumberFormat="1" applyFont="1" applyFill="1" applyBorder="1" applyAlignment="1">
      <alignment horizontal="center"/>
    </xf>
    <xf numFmtId="165" fontId="0" fillId="0" borderId="95" xfId="45" applyNumberFormat="1" applyFont="1" applyBorder="1" applyAlignment="1">
      <alignment horizontal="center"/>
    </xf>
    <xf numFmtId="165" fontId="0" fillId="0" borderId="116" xfId="45" applyNumberFormat="1" applyFont="1" applyBorder="1" applyAlignment="1">
      <alignment horizontal="center"/>
    </xf>
    <xf numFmtId="165" fontId="0" fillId="2" borderId="32" xfId="45" applyNumberFormat="1" applyFont="1" applyFill="1" applyBorder="1" applyAlignment="1">
      <alignment horizontal="center"/>
    </xf>
    <xf numFmtId="0" fontId="0" fillId="0" borderId="129" xfId="0" applyBorder="1" applyAlignment="1">
      <alignment horizontal="left" indent="1"/>
    </xf>
    <xf numFmtId="0" fontId="0" fillId="0" borderId="130" xfId="0" applyNumberFormat="1" applyBorder="1" applyAlignment="1">
      <alignment horizontal="center"/>
    </xf>
    <xf numFmtId="0" fontId="0" fillId="2" borderId="131" xfId="0" applyNumberFormat="1" applyFill="1" applyBorder="1" applyAlignment="1">
      <alignment horizontal="center"/>
    </xf>
    <xf numFmtId="0" fontId="3" fillId="45" borderId="83" xfId="0" applyFont="1" applyFill="1" applyBorder="1"/>
    <xf numFmtId="0" fontId="3" fillId="45" borderId="82" xfId="0" applyFont="1" applyFill="1" applyBorder="1"/>
    <xf numFmtId="0" fontId="3" fillId="45" borderId="120" xfId="0" applyFont="1" applyFill="1" applyBorder="1"/>
    <xf numFmtId="0" fontId="0" fillId="0" borderId="120" xfId="0" applyBorder="1"/>
    <xf numFmtId="0" fontId="0" fillId="0" borderId="82" xfId="0" applyBorder="1"/>
    <xf numFmtId="0" fontId="3" fillId="59" borderId="29" xfId="0" applyFont="1" applyFill="1" applyBorder="1"/>
    <xf numFmtId="0" fontId="0" fillId="0" borderId="30" xfId="0" applyBorder="1"/>
    <xf numFmtId="0" fontId="3" fillId="45" borderId="35" xfId="0" applyFont="1" applyFill="1" applyBorder="1"/>
    <xf numFmtId="0" fontId="3" fillId="45" borderId="24" xfId="0" applyFont="1" applyFill="1" applyBorder="1"/>
    <xf numFmtId="0" fontId="3" fillId="45" borderId="18" xfId="0" applyFont="1" applyFill="1" applyBorder="1"/>
    <xf numFmtId="0" fontId="3" fillId="45" borderId="19" xfId="0" applyFont="1" applyFill="1" applyBorder="1"/>
    <xf numFmtId="0" fontId="3" fillId="45" borderId="6" xfId="0" applyFont="1" applyFill="1" applyBorder="1"/>
    <xf numFmtId="0" fontId="0" fillId="0" borderId="12" xfId="0" applyBorder="1"/>
    <xf numFmtId="0" fontId="0" fillId="0" borderId="13" xfId="0" applyBorder="1"/>
    <xf numFmtId="0" fontId="0" fillId="0" borderId="102" xfId="0" applyBorder="1"/>
    <xf numFmtId="0" fontId="0" fillId="0" borderId="103" xfId="0" applyBorder="1"/>
    <xf numFmtId="0" fontId="0" fillId="0" borderId="134" xfId="0" applyBorder="1"/>
    <xf numFmtId="0" fontId="0" fillId="45" borderId="18" xfId="0" applyFill="1" applyBorder="1"/>
    <xf numFmtId="0" fontId="3" fillId="45" borderId="87" xfId="0" applyFont="1" applyFill="1" applyBorder="1"/>
    <xf numFmtId="0" fontId="0" fillId="0" borderId="129" xfId="0" applyBorder="1"/>
    <xf numFmtId="0" fontId="0" fillId="0" borderId="130" xfId="0" applyBorder="1"/>
    <xf numFmtId="0" fontId="0" fillId="0" borderId="131" xfId="0" applyBorder="1"/>
    <xf numFmtId="0" fontId="42" fillId="45" borderId="87" xfId="0" applyFont="1" applyFill="1" applyBorder="1" applyAlignment="1">
      <alignment horizontal="left"/>
    </xf>
    <xf numFmtId="0" fontId="3" fillId="45" borderId="119" xfId="0" applyFont="1" applyFill="1" applyBorder="1" applyAlignment="1">
      <alignment horizontal="center" vertical="center"/>
    </xf>
    <xf numFmtId="0" fontId="3" fillId="45" borderId="18" xfId="0" applyFont="1" applyFill="1" applyBorder="1" applyAlignment="1">
      <alignment horizontal="center" vertical="center"/>
    </xf>
    <xf numFmtId="0" fontId="3" fillId="45" borderId="75" xfId="0" applyFont="1" applyFill="1" applyBorder="1" applyAlignment="1">
      <alignment horizontal="center" vertical="center"/>
    </xf>
    <xf numFmtId="0" fontId="3" fillId="45" borderId="87" xfId="0" applyFont="1" applyFill="1" applyBorder="1" applyAlignment="1">
      <alignment horizontal="center" vertical="center"/>
    </xf>
    <xf numFmtId="165" fontId="3" fillId="45" borderId="119" xfId="45" applyNumberFormat="1" applyFont="1" applyFill="1" applyBorder="1" applyAlignment="1">
      <alignment wrapText="1"/>
    </xf>
    <xf numFmtId="165" fontId="3" fillId="45" borderId="18" xfId="45" applyNumberFormat="1" applyFont="1" applyFill="1" applyBorder="1" applyAlignment="1">
      <alignment wrapText="1"/>
    </xf>
    <xf numFmtId="165" fontId="3" fillId="45" borderId="75" xfId="45" applyNumberFormat="1" applyFont="1" applyFill="1" applyBorder="1" applyAlignment="1">
      <alignment wrapText="1"/>
    </xf>
    <xf numFmtId="165" fontId="3" fillId="45" borderId="87" xfId="45" applyNumberFormat="1" applyFont="1" applyFill="1" applyBorder="1" applyAlignment="1">
      <alignment wrapText="1"/>
    </xf>
    <xf numFmtId="165" fontId="3" fillId="45" borderId="135" xfId="45" applyNumberFormat="1" applyFont="1" applyFill="1" applyBorder="1" applyAlignment="1">
      <alignment wrapText="1"/>
    </xf>
    <xf numFmtId="165" fontId="3" fillId="45" borderId="133" xfId="45" applyNumberFormat="1" applyFont="1" applyFill="1" applyBorder="1" applyAlignment="1">
      <alignment wrapText="1"/>
    </xf>
    <xf numFmtId="165" fontId="3" fillId="45" borderId="136" xfId="45" applyNumberFormat="1" applyFont="1" applyFill="1" applyBorder="1" applyAlignment="1">
      <alignment wrapText="1"/>
    </xf>
    <xf numFmtId="165" fontId="3" fillId="45" borderId="83" xfId="45" applyNumberFormat="1" applyFont="1" applyFill="1" applyBorder="1" applyAlignment="1">
      <alignment wrapText="1"/>
    </xf>
    <xf numFmtId="165" fontId="0" fillId="0" borderId="8" xfId="45" applyNumberFormat="1" applyFont="1" applyBorder="1"/>
    <xf numFmtId="165" fontId="0" fillId="0" borderId="9" xfId="45" applyNumberFormat="1" applyFont="1" applyBorder="1"/>
    <xf numFmtId="165" fontId="0" fillId="0" borderId="10" xfId="45" applyNumberFormat="1" applyFont="1" applyBorder="1"/>
    <xf numFmtId="165" fontId="0" fillId="0" borderId="82" xfId="45" applyNumberFormat="1" applyFont="1" applyBorder="1"/>
    <xf numFmtId="165" fontId="0" fillId="0" borderId="11" xfId="45" applyNumberFormat="1" applyFont="1" applyBorder="1"/>
    <xf numFmtId="165" fontId="0" fillId="0" borderId="12" xfId="45" applyNumberFormat="1" applyFont="1" applyBorder="1"/>
    <xf numFmtId="165" fontId="0" fillId="0" borderId="13" xfId="45" applyNumberFormat="1" applyFont="1" applyBorder="1"/>
    <xf numFmtId="165" fontId="0" fillId="0" borderId="102" xfId="45" applyNumberFormat="1" applyFont="1" applyBorder="1"/>
    <xf numFmtId="165" fontId="0" fillId="0" borderId="103" xfId="45" applyNumberFormat="1" applyFont="1" applyBorder="1"/>
    <xf numFmtId="165" fontId="0" fillId="0" borderId="134" xfId="45" applyNumberFormat="1" applyFont="1" applyBorder="1"/>
    <xf numFmtId="165" fontId="3" fillId="45" borderId="17" xfId="45" applyNumberFormat="1" applyFont="1" applyFill="1" applyBorder="1"/>
    <xf numFmtId="165" fontId="3" fillId="45" borderId="18" xfId="45" applyNumberFormat="1" applyFont="1" applyFill="1" applyBorder="1"/>
    <xf numFmtId="165" fontId="3" fillId="45" borderId="19" xfId="45" applyNumberFormat="1" applyFont="1" applyFill="1" applyBorder="1"/>
    <xf numFmtId="165" fontId="3" fillId="45" borderId="24" xfId="45" applyNumberFormat="1" applyFont="1" applyFill="1" applyBorder="1"/>
    <xf numFmtId="165" fontId="0" fillId="0" borderId="129" xfId="45" applyNumberFormat="1" applyFont="1" applyBorder="1"/>
    <xf numFmtId="165" fontId="0" fillId="0" borderId="130" xfId="45" applyNumberFormat="1" applyFont="1" applyBorder="1"/>
    <xf numFmtId="165" fontId="0" fillId="0" borderId="131" xfId="45" applyNumberFormat="1" applyFont="1" applyBorder="1"/>
    <xf numFmtId="165" fontId="0" fillId="58" borderId="11" xfId="45" applyNumberFormat="1" applyFont="1" applyFill="1" applyBorder="1" applyAlignment="1">
      <alignment horizontal="center" vertical="center"/>
    </xf>
    <xf numFmtId="165" fontId="0" fillId="58" borderId="12" xfId="45" applyNumberFormat="1" applyFont="1" applyFill="1" applyBorder="1" applyAlignment="1">
      <alignment horizontal="center" vertical="center"/>
    </xf>
    <xf numFmtId="165" fontId="0" fillId="58" borderId="13" xfId="45" applyNumberFormat="1" applyFont="1" applyFill="1" applyBorder="1" applyAlignment="1">
      <alignment horizontal="center" vertical="center"/>
    </xf>
    <xf numFmtId="165" fontId="3" fillId="58" borderId="70" xfId="45" applyNumberFormat="1" applyFont="1" applyFill="1" applyBorder="1" applyAlignment="1">
      <alignment horizontal="center" vertical="center"/>
    </xf>
    <xf numFmtId="165" fontId="0" fillId="58" borderId="11" xfId="45" applyNumberFormat="1" applyFont="1" applyFill="1" applyBorder="1"/>
    <xf numFmtId="165" fontId="0" fillId="58" borderId="12" xfId="45" applyNumberFormat="1" applyFont="1" applyFill="1" applyBorder="1"/>
    <xf numFmtId="165" fontId="0" fillId="58" borderId="13" xfId="45" applyNumberFormat="1" applyFont="1" applyFill="1" applyBorder="1"/>
    <xf numFmtId="165" fontId="0" fillId="58" borderId="14" xfId="45" applyNumberFormat="1" applyFont="1" applyFill="1" applyBorder="1"/>
    <xf numFmtId="165" fontId="0" fillId="58" borderId="15" xfId="45" applyNumberFormat="1" applyFont="1" applyFill="1" applyBorder="1"/>
    <xf numFmtId="165" fontId="0" fillId="58" borderId="16" xfId="45" applyNumberFormat="1" applyFont="1" applyFill="1" applyBorder="1"/>
    <xf numFmtId="165" fontId="0" fillId="58" borderId="69" xfId="45" applyNumberFormat="1" applyFont="1" applyFill="1" applyBorder="1"/>
    <xf numFmtId="165" fontId="0" fillId="56" borderId="12" xfId="45" applyNumberFormat="1" applyFont="1" applyFill="1" applyBorder="1" applyAlignment="1">
      <alignment horizontal="center"/>
    </xf>
    <xf numFmtId="165" fontId="3" fillId="56" borderId="68" xfId="45" applyNumberFormat="1" applyFont="1" applyFill="1" applyBorder="1" applyAlignment="1">
      <alignment horizontal="center"/>
    </xf>
    <xf numFmtId="165" fontId="0" fillId="56" borderId="13" xfId="45" applyNumberFormat="1" applyFont="1" applyFill="1" applyBorder="1" applyAlignment="1">
      <alignment horizontal="center"/>
    </xf>
    <xf numFmtId="165" fontId="3" fillId="56" borderId="70" xfId="45" applyNumberFormat="1" applyFont="1" applyFill="1" applyBorder="1" applyAlignment="1">
      <alignment horizontal="center"/>
    </xf>
    <xf numFmtId="165" fontId="0" fillId="56" borderId="15" xfId="45" applyNumberFormat="1" applyFont="1" applyFill="1" applyBorder="1" applyAlignment="1">
      <alignment horizontal="center"/>
    </xf>
    <xf numFmtId="165" fontId="0" fillId="56" borderId="16" xfId="45" applyNumberFormat="1" applyFont="1" applyFill="1" applyBorder="1" applyAlignment="1">
      <alignment horizontal="center"/>
    </xf>
    <xf numFmtId="165" fontId="0" fillId="56" borderId="69" xfId="45" applyNumberFormat="1" applyFont="1" applyFill="1" applyBorder="1" applyAlignment="1">
      <alignment horizontal="center"/>
    </xf>
    <xf numFmtId="0" fontId="0" fillId="0" borderId="137" xfId="0" applyBorder="1"/>
    <xf numFmtId="0" fontId="3" fillId="59" borderId="35" xfId="0" applyFont="1" applyFill="1" applyBorder="1"/>
    <xf numFmtId="0" fontId="0" fillId="0" borderId="6" xfId="0" applyBorder="1"/>
    <xf numFmtId="0" fontId="0" fillId="0" borderId="138" xfId="0" applyBorder="1"/>
    <xf numFmtId="0" fontId="0" fillId="0" borderId="120" xfId="0" applyFont="1" applyBorder="1"/>
    <xf numFmtId="0" fontId="0" fillId="0" borderId="6" xfId="0" applyFont="1" applyBorder="1"/>
    <xf numFmtId="0" fontId="0" fillId="0" borderId="138" xfId="0" applyFont="1" applyBorder="1"/>
    <xf numFmtId="0" fontId="0" fillId="0" borderId="137" xfId="0" applyFont="1" applyBorder="1"/>
    <xf numFmtId="0" fontId="0" fillId="0" borderId="82" xfId="0" applyFont="1" applyBorder="1"/>
    <xf numFmtId="0" fontId="3" fillId="45" borderId="132" xfId="0" applyFont="1" applyFill="1" applyBorder="1"/>
    <xf numFmtId="0" fontId="3" fillId="45" borderId="86" xfId="0" applyFont="1" applyFill="1" applyBorder="1"/>
    <xf numFmtId="0" fontId="3" fillId="45" borderId="137" xfId="0" applyFont="1" applyFill="1" applyBorder="1"/>
    <xf numFmtId="0" fontId="3" fillId="45" borderId="86" xfId="0" applyFont="1" applyFill="1" applyBorder="1" applyAlignment="1">
      <alignment horizontal="center" vertical="center"/>
    </xf>
    <xf numFmtId="0" fontId="3" fillId="45" borderId="24" xfId="0" applyFont="1" applyFill="1" applyBorder="1" applyAlignment="1">
      <alignment horizontal="center" vertical="center"/>
    </xf>
    <xf numFmtId="0" fontId="3" fillId="45" borderId="78" xfId="0" applyFont="1" applyFill="1" applyBorder="1" applyAlignment="1">
      <alignment horizontal="center" vertical="center"/>
    </xf>
    <xf numFmtId="0" fontId="3" fillId="45" borderId="79" xfId="0" applyFont="1" applyFill="1" applyBorder="1" applyAlignment="1">
      <alignment horizontal="center" vertical="center"/>
    </xf>
    <xf numFmtId="0" fontId="3" fillId="58" borderId="18" xfId="0" applyNumberFormat="1" applyFont="1" applyFill="1" applyBorder="1" applyAlignment="1">
      <alignment horizontal="center" vertical="center"/>
    </xf>
    <xf numFmtId="0" fontId="3" fillId="58" borderId="19" xfId="0" applyNumberFormat="1" applyFont="1" applyFill="1" applyBorder="1" applyAlignment="1">
      <alignment horizontal="center" vertical="center"/>
    </xf>
    <xf numFmtId="0" fontId="3" fillId="58" borderId="24" xfId="0" applyNumberFormat="1" applyFont="1" applyFill="1" applyBorder="1" applyAlignment="1">
      <alignment horizontal="center" vertical="center"/>
    </xf>
    <xf numFmtId="0" fontId="0" fillId="0" borderId="9" xfId="0" applyBorder="1"/>
    <xf numFmtId="0" fontId="0" fillId="45" borderId="87" xfId="0" applyFill="1" applyBorder="1"/>
    <xf numFmtId="0" fontId="0" fillId="0" borderId="31" xfId="0" applyBorder="1"/>
    <xf numFmtId="0" fontId="0" fillId="0" borderId="32" xfId="0" applyBorder="1"/>
    <xf numFmtId="0" fontId="0" fillId="0" borderId="34" xfId="0" applyBorder="1"/>
    <xf numFmtId="0" fontId="0" fillId="0" borderId="122" xfId="0" applyBorder="1"/>
    <xf numFmtId="0" fontId="0" fillId="45" borderId="119" xfId="0" applyFill="1" applyBorder="1"/>
    <xf numFmtId="0" fontId="0" fillId="0" borderId="115" xfId="0" applyBorder="1"/>
    <xf numFmtId="0" fontId="0" fillId="0" borderId="116" xfId="0" applyBorder="1"/>
    <xf numFmtId="0" fontId="0" fillId="0" borderId="117" xfId="0" applyBorder="1"/>
    <xf numFmtId="0" fontId="0" fillId="0" borderId="140" xfId="0" applyBorder="1"/>
    <xf numFmtId="0" fontId="0" fillId="0" borderId="128" xfId="0" applyBorder="1"/>
    <xf numFmtId="0" fontId="3" fillId="59" borderId="87" xfId="0" applyFont="1" applyFill="1" applyBorder="1"/>
    <xf numFmtId="0" fontId="3" fillId="45" borderId="119" xfId="0" applyFont="1" applyFill="1" applyBorder="1"/>
    <xf numFmtId="165" fontId="3" fillId="45" borderId="75" xfId="45" applyNumberFormat="1" applyFont="1" applyFill="1" applyBorder="1"/>
    <xf numFmtId="165" fontId="3" fillId="45" borderId="87" xfId="45" applyNumberFormat="1" applyFont="1" applyFill="1" applyBorder="1"/>
    <xf numFmtId="165" fontId="0" fillId="0" borderId="36" xfId="45" applyNumberFormat="1" applyFont="1" applyBorder="1"/>
    <xf numFmtId="165" fontId="0" fillId="0" borderId="31" xfId="45" applyNumberFormat="1" applyFont="1" applyBorder="1"/>
    <xf numFmtId="165" fontId="0" fillId="0" borderId="37" xfId="45" applyNumberFormat="1" applyFont="1" applyBorder="1"/>
    <xf numFmtId="165" fontId="0" fillId="0" borderId="32" xfId="45" applyNumberFormat="1" applyFont="1" applyBorder="1"/>
    <xf numFmtId="165" fontId="0" fillId="0" borderId="104" xfId="45" applyNumberFormat="1" applyFont="1" applyBorder="1"/>
    <xf numFmtId="165" fontId="0" fillId="0" borderId="34" xfId="45" applyNumberFormat="1" applyFont="1" applyBorder="1"/>
    <xf numFmtId="165" fontId="0" fillId="45" borderId="18" xfId="45" applyNumberFormat="1" applyFont="1" applyFill="1" applyBorder="1"/>
    <xf numFmtId="165" fontId="0" fillId="45" borderId="75" xfId="45" applyNumberFormat="1" applyFont="1" applyFill="1" applyBorder="1"/>
    <xf numFmtId="165" fontId="0" fillId="45" borderId="87" xfId="45" applyNumberFormat="1" applyFont="1" applyFill="1" applyBorder="1"/>
    <xf numFmtId="165" fontId="0" fillId="0" borderId="6" xfId="45" applyNumberFormat="1" applyFont="1" applyBorder="1"/>
    <xf numFmtId="165" fontId="0" fillId="0" borderId="71" xfId="45" applyNumberFormat="1" applyFont="1" applyBorder="1"/>
    <xf numFmtId="165" fontId="0" fillId="0" borderId="30" xfId="45" applyNumberFormat="1" applyFont="1" applyBorder="1"/>
    <xf numFmtId="165" fontId="0" fillId="0" borderId="139" xfId="45" applyNumberFormat="1" applyFont="1" applyBorder="1"/>
    <xf numFmtId="165" fontId="0" fillId="0" borderId="122" xfId="45" applyNumberFormat="1" applyFont="1" applyBorder="1"/>
    <xf numFmtId="165" fontId="0" fillId="58" borderId="12" xfId="45" applyNumberFormat="1" applyFont="1" applyFill="1" applyBorder="1" applyAlignment="1">
      <alignment horizontal="center"/>
    </xf>
    <xf numFmtId="165" fontId="0" fillId="58" borderId="13" xfId="45" applyNumberFormat="1" applyFont="1" applyFill="1" applyBorder="1" applyAlignment="1">
      <alignment horizontal="center"/>
    </xf>
    <xf numFmtId="165" fontId="3" fillId="58" borderId="70" xfId="45" applyNumberFormat="1" applyFont="1" applyFill="1" applyBorder="1" applyAlignment="1">
      <alignment horizontal="center"/>
    </xf>
    <xf numFmtId="165" fontId="3" fillId="58" borderId="70" xfId="45" applyNumberFormat="1" applyFont="1" applyFill="1" applyBorder="1"/>
    <xf numFmtId="165" fontId="0" fillId="53" borderId="12" xfId="45" applyNumberFormat="1" applyFont="1" applyFill="1" applyBorder="1" applyAlignment="1">
      <alignment horizontal="center"/>
    </xf>
    <xf numFmtId="165" fontId="0" fillId="58" borderId="9" xfId="45" applyNumberFormat="1" applyFont="1" applyFill="1" applyBorder="1" applyAlignment="1">
      <alignment horizontal="center" vertical="center"/>
    </xf>
    <xf numFmtId="165" fontId="3" fillId="58" borderId="68" xfId="45" applyNumberFormat="1" applyFont="1" applyFill="1" applyBorder="1" applyAlignment="1">
      <alignment horizontal="center" vertical="center"/>
    </xf>
    <xf numFmtId="165" fontId="0" fillId="58" borderId="15" xfId="45" applyNumberFormat="1" applyFont="1" applyFill="1" applyBorder="1" applyAlignment="1">
      <alignment horizontal="center" vertical="center"/>
    </xf>
    <xf numFmtId="165" fontId="0" fillId="58" borderId="16" xfId="45" applyNumberFormat="1" applyFont="1" applyFill="1" applyBorder="1" applyAlignment="1">
      <alignment horizontal="center" vertical="center"/>
    </xf>
    <xf numFmtId="165" fontId="3" fillId="58" borderId="69" xfId="45" applyNumberFormat="1" applyFont="1" applyFill="1" applyBorder="1" applyAlignment="1">
      <alignment horizontal="center" vertical="center"/>
    </xf>
    <xf numFmtId="9" fontId="3" fillId="45" borderId="87" xfId="1" applyFont="1" applyFill="1" applyBorder="1" applyAlignment="1">
      <alignment horizontal="center" vertical="center" wrapText="1"/>
    </xf>
    <xf numFmtId="9" fontId="3" fillId="0" borderId="0" xfId="1" applyFont="1" applyAlignment="1">
      <alignment horizontal="center" vertical="center" wrapText="1"/>
    </xf>
    <xf numFmtId="0" fontId="42" fillId="4" borderId="17" xfId="0" applyFont="1" applyFill="1" applyBorder="1"/>
    <xf numFmtId="0" fontId="42" fillId="4" borderId="18" xfId="0" applyFont="1" applyFill="1" applyBorder="1"/>
    <xf numFmtId="0" fontId="42" fillId="4" borderId="87" xfId="0" applyFont="1" applyFill="1" applyBorder="1"/>
    <xf numFmtId="0" fontId="42" fillId="4" borderId="75" xfId="0" applyFont="1" applyFill="1" applyBorder="1"/>
    <xf numFmtId="0" fontId="0" fillId="0" borderId="139" xfId="0" applyBorder="1"/>
    <xf numFmtId="0" fontId="0" fillId="0" borderId="37" xfId="0" applyBorder="1"/>
    <xf numFmtId="0" fontId="0" fillId="0" borderId="104" xfId="0" applyBorder="1"/>
    <xf numFmtId="0" fontId="3" fillId="0" borderId="77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4" borderId="87" xfId="0" applyFont="1" applyFill="1" applyBorder="1"/>
    <xf numFmtId="0" fontId="3" fillId="4" borderId="17" xfId="0" applyFont="1" applyFill="1" applyBorder="1"/>
    <xf numFmtId="0" fontId="3" fillId="4" borderId="18" xfId="0" applyFont="1" applyFill="1" applyBorder="1"/>
    <xf numFmtId="0" fontId="3" fillId="4" borderId="75" xfId="0" applyFont="1" applyFill="1" applyBorder="1"/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75" xfId="0" applyFont="1" applyFill="1" applyBorder="1" applyAlignment="1">
      <alignment horizontal="center" vertical="center"/>
    </xf>
    <xf numFmtId="0" fontId="3" fillId="4" borderId="87" xfId="0" applyFont="1" applyFill="1" applyBorder="1" applyAlignment="1">
      <alignment horizontal="center" vertical="center"/>
    </xf>
    <xf numFmtId="0" fontId="3" fillId="4" borderId="119" xfId="0" applyFont="1" applyFill="1" applyBorder="1"/>
    <xf numFmtId="0" fontId="3" fillId="4" borderId="29" xfId="0" applyFont="1" applyFill="1" applyBorder="1"/>
    <xf numFmtId="0" fontId="3" fillId="4" borderId="114" xfId="0" applyFont="1" applyFill="1" applyBorder="1"/>
    <xf numFmtId="0" fontId="3" fillId="4" borderId="78" xfId="0" applyFont="1" applyFill="1" applyBorder="1"/>
    <xf numFmtId="0" fontId="3" fillId="4" borderId="80" xfId="0" applyFont="1" applyFill="1" applyBorder="1"/>
    <xf numFmtId="0" fontId="0" fillId="0" borderId="121" xfId="0" applyBorder="1"/>
    <xf numFmtId="0" fontId="3" fillId="4" borderId="79" xfId="0" applyFont="1" applyFill="1" applyBorder="1"/>
    <xf numFmtId="0" fontId="3" fillId="4" borderId="19" xfId="0" applyFont="1" applyFill="1" applyBorder="1"/>
    <xf numFmtId="0" fontId="0" fillId="0" borderId="93" xfId="0" applyBorder="1"/>
    <xf numFmtId="0" fontId="0" fillId="0" borderId="70" xfId="0" applyBorder="1"/>
    <xf numFmtId="0" fontId="0" fillId="0" borderId="101" xfId="0" applyBorder="1"/>
    <xf numFmtId="0" fontId="3" fillId="4" borderId="24" xfId="0" applyFont="1" applyFill="1" applyBorder="1"/>
    <xf numFmtId="0" fontId="3" fillId="4" borderId="77" xfId="0" applyFont="1" applyFill="1" applyBorder="1" applyAlignment="1">
      <alignment horizontal="center" vertical="center"/>
    </xf>
    <xf numFmtId="0" fontId="3" fillId="4" borderId="78" xfId="0" applyFont="1" applyFill="1" applyBorder="1" applyAlignment="1">
      <alignment horizontal="center" vertical="center"/>
    </xf>
    <xf numFmtId="0" fontId="3" fillId="4" borderId="79" xfId="0" applyFont="1" applyFill="1" applyBorder="1" applyAlignment="1">
      <alignment horizontal="center" vertical="center"/>
    </xf>
    <xf numFmtId="0" fontId="3" fillId="4" borderId="81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3" fontId="3" fillId="52" borderId="87" xfId="0" applyNumberFormat="1" applyFont="1" applyFill="1" applyBorder="1" applyAlignment="1">
      <alignment horizontal="center"/>
    </xf>
    <xf numFmtId="3" fontId="3" fillId="53" borderId="87" xfId="0" applyNumberFormat="1" applyFont="1" applyFill="1" applyBorder="1" applyAlignment="1">
      <alignment horizontal="center"/>
    </xf>
    <xf numFmtId="164" fontId="57" fillId="2" borderId="1" xfId="44" applyNumberFormat="1" applyFont="1" applyFill="1" applyBorder="1" applyAlignment="1" applyProtection="1">
      <alignment horizontal="center" vertical="center"/>
    </xf>
    <xf numFmtId="9" fontId="8" fillId="0" borderId="0" xfId="44" applyFont="1" applyFill="1" applyBorder="1" applyAlignment="1" applyProtection="1">
      <alignment horizontal="center"/>
    </xf>
    <xf numFmtId="9" fontId="49" fillId="0" borderId="0" xfId="44" applyFont="1" applyFill="1" applyBorder="1" applyAlignment="1" applyProtection="1">
      <alignment horizontal="center" vertical="center"/>
    </xf>
    <xf numFmtId="9" fontId="39" fillId="0" borderId="0" xfId="44" applyFont="1" applyFill="1" applyBorder="1" applyAlignment="1" applyProtection="1">
      <alignment horizontal="center" vertical="center"/>
    </xf>
    <xf numFmtId="3" fontId="48" fillId="0" borderId="0" xfId="44" applyNumberFormat="1" applyFont="1" applyFill="1" applyBorder="1" applyAlignment="1" applyProtection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wrapText="1"/>
    </xf>
    <xf numFmtId="164" fontId="0" fillId="0" borderId="0" xfId="1" applyNumberFormat="1" applyFont="1"/>
    <xf numFmtId="164" fontId="0" fillId="0" borderId="87" xfId="1" applyNumberFormat="1" applyFont="1" applyBorder="1" applyAlignment="1">
      <alignment horizontal="center"/>
    </xf>
    <xf numFmtId="0" fontId="65" fillId="4" borderId="56" xfId="0" applyFont="1" applyFill="1" applyBorder="1" applyAlignment="1">
      <alignment horizontal="center" vertical="center" wrapText="1"/>
    </xf>
    <xf numFmtId="0" fontId="65" fillId="4" borderId="57" xfId="0" applyFont="1" applyFill="1" applyBorder="1" applyAlignment="1">
      <alignment horizontal="center" vertical="center" wrapText="1"/>
    </xf>
    <xf numFmtId="0" fontId="10" fillId="4" borderId="51" xfId="0" applyFont="1" applyFill="1" applyBorder="1" applyAlignment="1">
      <alignment horizontal="center" vertical="center" wrapText="1"/>
    </xf>
    <xf numFmtId="3" fontId="3" fillId="4" borderId="61" xfId="0" applyNumberFormat="1" applyFont="1" applyFill="1" applyBorder="1" applyAlignment="1">
      <alignment horizontal="center" vertical="center"/>
    </xf>
    <xf numFmtId="3" fontId="3" fillId="4" borderId="5" xfId="0" applyNumberFormat="1" applyFont="1" applyFill="1" applyBorder="1" applyAlignment="1">
      <alignment horizontal="center" vertical="center"/>
    </xf>
    <xf numFmtId="3" fontId="5" fillId="4" borderId="5" xfId="0" applyNumberFormat="1" applyFont="1" applyFill="1" applyBorder="1" applyAlignment="1">
      <alignment horizontal="center" vertical="center"/>
    </xf>
    <xf numFmtId="3" fontId="5" fillId="4" borderId="62" xfId="0" applyNumberFormat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wrapText="1"/>
    </xf>
    <xf numFmtId="3" fontId="9" fillId="4" borderId="28" xfId="0" applyNumberFormat="1" applyFont="1" applyFill="1" applyBorder="1" applyAlignment="1">
      <alignment horizontal="center" vertical="center"/>
    </xf>
    <xf numFmtId="3" fontId="9" fillId="4" borderId="1" xfId="0" applyNumberFormat="1" applyFont="1" applyFill="1" applyBorder="1" applyAlignment="1">
      <alignment horizontal="center" vertical="center"/>
    </xf>
    <xf numFmtId="3" fontId="8" fillId="4" borderId="1" xfId="0" applyNumberFormat="1" applyFont="1" applyFill="1" applyBorder="1" applyAlignment="1">
      <alignment horizontal="center" vertical="center"/>
    </xf>
    <xf numFmtId="3" fontId="8" fillId="4" borderId="27" xfId="0" applyNumberFormat="1" applyFont="1" applyFill="1" applyBorder="1" applyAlignment="1">
      <alignment horizontal="center" vertical="center"/>
    </xf>
    <xf numFmtId="3" fontId="3" fillId="52" borderId="61" xfId="0" applyNumberFormat="1" applyFont="1" applyFill="1" applyBorder="1" applyAlignment="1">
      <alignment horizontal="center" vertical="center"/>
    </xf>
    <xf numFmtId="3" fontId="3" fillId="52" borderId="5" xfId="0" applyNumberFormat="1" applyFont="1" applyFill="1" applyBorder="1" applyAlignment="1">
      <alignment horizontal="center" vertical="center"/>
    </xf>
    <xf numFmtId="3" fontId="3" fillId="52" borderId="51" xfId="0" applyNumberFormat="1" applyFont="1" applyFill="1" applyBorder="1" applyAlignment="1">
      <alignment horizontal="center" vertical="center"/>
    </xf>
    <xf numFmtId="3" fontId="3" fillId="52" borderId="66" xfId="0" applyNumberFormat="1" applyFont="1" applyFill="1" applyBorder="1" applyAlignment="1">
      <alignment horizontal="center" vertical="center"/>
    </xf>
    <xf numFmtId="3" fontId="9" fillId="52" borderId="28" xfId="0" applyNumberFormat="1" applyFont="1" applyFill="1" applyBorder="1" applyAlignment="1">
      <alignment horizontal="center" vertical="center"/>
    </xf>
    <xf numFmtId="3" fontId="9" fillId="52" borderId="1" xfId="0" applyNumberFormat="1" applyFont="1" applyFill="1" applyBorder="1" applyAlignment="1">
      <alignment horizontal="center" vertical="center"/>
    </xf>
    <xf numFmtId="3" fontId="9" fillId="52" borderId="4" xfId="0" applyNumberFormat="1" applyFont="1" applyFill="1" applyBorder="1" applyAlignment="1">
      <alignment horizontal="center" vertical="center"/>
    </xf>
    <xf numFmtId="3" fontId="9" fillId="52" borderId="67" xfId="0" applyNumberFormat="1" applyFont="1" applyFill="1" applyBorder="1" applyAlignment="1">
      <alignment horizontal="center" vertical="center"/>
    </xf>
    <xf numFmtId="0" fontId="65" fillId="52" borderId="56" xfId="0" applyFont="1" applyFill="1" applyBorder="1" applyAlignment="1">
      <alignment horizontal="center" vertical="center" wrapText="1"/>
    </xf>
    <xf numFmtId="0" fontId="65" fillId="52" borderId="57" xfId="0" applyFont="1" applyFill="1" applyBorder="1" applyAlignment="1">
      <alignment horizontal="center" vertical="center" wrapText="1"/>
    </xf>
    <xf numFmtId="0" fontId="65" fillId="52" borderId="63" xfId="0" applyFont="1" applyFill="1" applyBorder="1" applyAlignment="1">
      <alignment horizontal="center" vertical="center" wrapText="1"/>
    </xf>
    <xf numFmtId="0" fontId="65" fillId="52" borderId="7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top" wrapText="1"/>
    </xf>
    <xf numFmtId="165" fontId="0" fillId="60" borderId="10" xfId="45" applyNumberFormat="1" applyFont="1" applyFill="1" applyBorder="1" applyAlignment="1">
      <alignment horizontal="center" vertical="center"/>
    </xf>
    <xf numFmtId="165" fontId="0" fillId="60" borderId="13" xfId="45" applyNumberFormat="1" applyFont="1" applyFill="1" applyBorder="1" applyAlignment="1">
      <alignment horizontal="center" vertical="center"/>
    </xf>
    <xf numFmtId="10" fontId="66" fillId="0" borderId="0" xfId="1" applyNumberFormat="1" applyFont="1"/>
    <xf numFmtId="10" fontId="70" fillId="0" borderId="0" xfId="1" applyNumberFormat="1" applyFont="1"/>
    <xf numFmtId="164" fontId="71" fillId="0" borderId="0" xfId="1" applyNumberFormat="1" applyFont="1"/>
    <xf numFmtId="165" fontId="56" fillId="0" borderId="0" xfId="0" applyNumberFormat="1" applyFont="1"/>
    <xf numFmtId="0" fontId="72" fillId="0" borderId="7" xfId="0" applyFont="1" applyFill="1" applyBorder="1"/>
    <xf numFmtId="0" fontId="73" fillId="0" borderId="0" xfId="0" applyFont="1" applyFill="1" applyBorder="1"/>
    <xf numFmtId="0" fontId="73" fillId="0" borderId="0" xfId="0" applyFont="1" applyFill="1" applyBorder="1" applyAlignment="1">
      <alignment horizontal="left"/>
    </xf>
    <xf numFmtId="0" fontId="72" fillId="0" borderId="7" xfId="0" applyFont="1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6" fillId="0" borderId="145" xfId="0" applyFont="1" applyFill="1" applyBorder="1" applyAlignment="1">
      <alignment horizontal="center" vertical="center" wrapText="1"/>
    </xf>
    <xf numFmtId="0" fontId="10" fillId="8" borderId="145" xfId="0" applyFont="1" applyFill="1" applyBorder="1" applyAlignment="1">
      <alignment horizontal="center" vertical="center" wrapText="1"/>
    </xf>
    <xf numFmtId="3" fontId="0" fillId="4" borderId="1" xfId="0" applyNumberFormat="1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3" fontId="3" fillId="51" borderId="1" xfId="0" applyNumberFormat="1" applyFont="1" applyFill="1" applyBorder="1" applyAlignment="1">
      <alignment horizontal="center" vertical="center"/>
    </xf>
    <xf numFmtId="3" fontId="3" fillId="4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9" fillId="3" borderId="1" xfId="0" applyNumberFormat="1" applyFont="1" applyFill="1" applyBorder="1" applyAlignment="1">
      <alignment horizontal="center" vertical="center"/>
    </xf>
    <xf numFmtId="0" fontId="74" fillId="4" borderId="17" xfId="0" applyFont="1" applyFill="1" applyBorder="1" applyAlignment="1">
      <alignment horizontal="center" vertical="center" wrapText="1"/>
    </xf>
    <xf numFmtId="0" fontId="74" fillId="4" borderId="18" xfId="0" applyFont="1" applyFill="1" applyBorder="1" applyAlignment="1">
      <alignment horizontal="center" vertical="center" wrapText="1"/>
    </xf>
    <xf numFmtId="0" fontId="74" fillId="4" borderId="78" xfId="0" applyFont="1" applyFill="1" applyBorder="1" applyAlignment="1">
      <alignment horizontal="center" vertical="center" wrapText="1"/>
    </xf>
    <xf numFmtId="0" fontId="74" fillId="4" borderId="80" xfId="0" applyFont="1" applyFill="1" applyBorder="1" applyAlignment="1">
      <alignment horizontal="center" vertical="center" wrapText="1"/>
    </xf>
    <xf numFmtId="0" fontId="74" fillId="52" borderId="17" xfId="0" applyFont="1" applyFill="1" applyBorder="1" applyAlignment="1">
      <alignment horizontal="center" vertical="center" wrapText="1"/>
    </xf>
    <xf numFmtId="0" fontId="74" fillId="52" borderId="18" xfId="0" applyFont="1" applyFill="1" applyBorder="1" applyAlignment="1">
      <alignment horizontal="center" vertical="center" wrapText="1"/>
    </xf>
    <xf numFmtId="0" fontId="74" fillId="52" borderId="18" xfId="0" applyFont="1" applyFill="1" applyBorder="1" applyAlignment="1">
      <alignment horizontal="center" vertical="center"/>
    </xf>
    <xf numFmtId="0" fontId="74" fillId="52" borderId="79" xfId="0" applyFont="1" applyFill="1" applyBorder="1" applyAlignment="1">
      <alignment horizontal="center" vertical="center"/>
    </xf>
    <xf numFmtId="0" fontId="53" fillId="0" borderId="0" xfId="0" applyFont="1" applyBorder="1"/>
    <xf numFmtId="0" fontId="53" fillId="0" borderId="0" xfId="0" applyFont="1" applyFill="1" applyBorder="1"/>
    <xf numFmtId="0" fontId="53" fillId="0" borderId="0" xfId="0" applyFont="1" applyBorder="1" applyAlignment="1">
      <alignment horizontal="center"/>
    </xf>
    <xf numFmtId="0" fontId="52" fillId="0" borderId="0" xfId="0" applyFont="1" applyFill="1" applyBorder="1"/>
    <xf numFmtId="0" fontId="75" fillId="0" borderId="0" xfId="0" applyFont="1" applyFill="1" applyBorder="1"/>
    <xf numFmtId="0" fontId="13" fillId="4" borderId="8" xfId="0" applyFont="1" applyFill="1" applyBorder="1" applyAlignment="1">
      <alignment horizontal="left" vertical="center" wrapText="1"/>
    </xf>
    <xf numFmtId="0" fontId="13" fillId="4" borderId="14" xfId="0" applyFont="1" applyFill="1" applyBorder="1" applyAlignment="1">
      <alignment horizontal="left" vertical="center" wrapText="1"/>
    </xf>
    <xf numFmtId="0" fontId="53" fillId="4" borderId="11" xfId="0" applyNumberFormat="1" applyFont="1" applyFill="1" applyBorder="1" applyAlignment="1">
      <alignment horizontal="center"/>
    </xf>
    <xf numFmtId="0" fontId="53" fillId="4" borderId="12" xfId="0" applyNumberFormat="1" applyFont="1" applyFill="1" applyBorder="1" applyAlignment="1">
      <alignment horizontal="center"/>
    </xf>
    <xf numFmtId="0" fontId="53" fillId="4" borderId="13" xfId="0" applyNumberFormat="1" applyFont="1" applyFill="1" applyBorder="1" applyAlignment="1">
      <alignment horizontal="center"/>
    </xf>
    <xf numFmtId="3" fontId="52" fillId="8" borderId="70" xfId="0" applyNumberFormat="1" applyFont="1" applyFill="1" applyBorder="1" applyAlignment="1">
      <alignment horizontal="center" vertical="center"/>
    </xf>
    <xf numFmtId="0" fontId="53" fillId="0" borderId="11" xfId="0" applyNumberFormat="1" applyFont="1" applyFill="1" applyBorder="1" applyAlignment="1">
      <alignment horizontal="center"/>
    </xf>
    <xf numFmtId="0" fontId="53" fillId="0" borderId="12" xfId="0" applyNumberFormat="1" applyFont="1" applyFill="1" applyBorder="1" applyAlignment="1">
      <alignment horizontal="center"/>
    </xf>
    <xf numFmtId="0" fontId="53" fillId="0" borderId="11" xfId="0" applyFont="1" applyBorder="1" applyAlignment="1">
      <alignment horizontal="center"/>
    </xf>
    <xf numFmtId="0" fontId="53" fillId="0" borderId="12" xfId="0" applyFont="1" applyBorder="1" applyAlignment="1">
      <alignment horizontal="center"/>
    </xf>
    <xf numFmtId="0" fontId="53" fillId="0" borderId="13" xfId="0" applyNumberFormat="1" applyFont="1" applyFill="1" applyBorder="1" applyAlignment="1">
      <alignment horizontal="center"/>
    </xf>
    <xf numFmtId="0" fontId="53" fillId="0" borderId="14" xfId="0" applyNumberFormat="1" applyFont="1" applyFill="1" applyBorder="1" applyAlignment="1">
      <alignment horizontal="center"/>
    </xf>
    <xf numFmtId="0" fontId="53" fillId="0" borderId="15" xfId="0" applyNumberFormat="1" applyFont="1" applyFill="1" applyBorder="1" applyAlignment="1">
      <alignment horizontal="center"/>
    </xf>
    <xf numFmtId="0" fontId="53" fillId="0" borderId="14" xfId="0" applyFont="1" applyBorder="1" applyAlignment="1">
      <alignment horizontal="center"/>
    </xf>
    <xf numFmtId="0" fontId="53" fillId="0" borderId="15" xfId="0" applyFont="1" applyBorder="1" applyAlignment="1">
      <alignment horizontal="center"/>
    </xf>
    <xf numFmtId="0" fontId="53" fillId="0" borderId="16" xfId="0" applyNumberFormat="1" applyFont="1" applyFill="1" applyBorder="1" applyAlignment="1">
      <alignment horizontal="center"/>
    </xf>
    <xf numFmtId="3" fontId="52" fillId="8" borderId="69" xfId="0" applyNumberFormat="1" applyFont="1" applyFill="1" applyBorder="1" applyAlignment="1">
      <alignment horizontal="center" vertical="center"/>
    </xf>
    <xf numFmtId="3" fontId="52" fillId="4" borderId="8" xfId="0" applyNumberFormat="1" applyFont="1" applyFill="1" applyBorder="1" applyAlignment="1">
      <alignment horizontal="center" vertical="center"/>
    </xf>
    <xf numFmtId="3" fontId="52" fillId="4" borderId="9" xfId="0" applyNumberFormat="1" applyFont="1" applyFill="1" applyBorder="1" applyAlignment="1">
      <alignment horizontal="center" vertical="center"/>
    </xf>
    <xf numFmtId="3" fontId="52" fillId="4" borderId="10" xfId="0" applyNumberFormat="1" applyFont="1" applyFill="1" applyBorder="1" applyAlignment="1">
      <alignment horizontal="center" vertical="center"/>
    </xf>
    <xf numFmtId="3" fontId="52" fillId="51" borderId="68" xfId="0" applyNumberFormat="1" applyFont="1" applyFill="1" applyBorder="1" applyAlignment="1">
      <alignment horizontal="center" vertical="center"/>
    </xf>
    <xf numFmtId="3" fontId="76" fillId="4" borderId="14" xfId="0" applyNumberFormat="1" applyFont="1" applyFill="1" applyBorder="1" applyAlignment="1">
      <alignment horizontal="center" vertical="center"/>
    </xf>
    <xf numFmtId="3" fontId="76" fillId="4" borderId="15" xfId="0" applyNumberFormat="1" applyFont="1" applyFill="1" applyBorder="1" applyAlignment="1">
      <alignment horizontal="center" vertical="center"/>
    </xf>
    <xf numFmtId="3" fontId="76" fillId="4" borderId="16" xfId="0" applyNumberFormat="1" applyFont="1" applyFill="1" applyBorder="1" applyAlignment="1">
      <alignment horizontal="center" vertical="center"/>
    </xf>
    <xf numFmtId="3" fontId="76" fillId="4" borderId="69" xfId="0" applyNumberFormat="1" applyFont="1" applyFill="1" applyBorder="1" applyAlignment="1">
      <alignment horizontal="center" vertical="center"/>
    </xf>
    <xf numFmtId="0" fontId="53" fillId="52" borderId="9" xfId="0" applyFont="1" applyFill="1" applyBorder="1" applyAlignment="1">
      <alignment horizontal="center"/>
    </xf>
    <xf numFmtId="0" fontId="53" fillId="52" borderId="36" xfId="0" applyFont="1" applyFill="1" applyBorder="1" applyAlignment="1">
      <alignment horizontal="center"/>
    </xf>
    <xf numFmtId="0" fontId="53" fillId="52" borderId="8" xfId="0" applyFont="1" applyFill="1" applyBorder="1" applyAlignment="1">
      <alignment horizontal="center"/>
    </xf>
    <xf numFmtId="0" fontId="53" fillId="52" borderId="31" xfId="0" applyFont="1" applyFill="1" applyBorder="1" applyAlignment="1">
      <alignment horizontal="center"/>
    </xf>
    <xf numFmtId="3" fontId="53" fillId="52" borderId="87" xfId="0" applyNumberFormat="1" applyFont="1" applyFill="1" applyBorder="1" applyAlignment="1">
      <alignment horizontal="center"/>
    </xf>
    <xf numFmtId="164" fontId="53" fillId="0" borderId="87" xfId="1" applyNumberFormat="1" applyFont="1" applyBorder="1" applyAlignment="1">
      <alignment horizontal="center"/>
    </xf>
    <xf numFmtId="0" fontId="53" fillId="52" borderId="15" xfId="0" applyFont="1" applyFill="1" applyBorder="1" applyAlignment="1">
      <alignment horizontal="center"/>
    </xf>
    <xf numFmtId="3" fontId="53" fillId="52" borderId="15" xfId="0" applyNumberFormat="1" applyFont="1" applyFill="1" applyBorder="1" applyAlignment="1">
      <alignment horizontal="center"/>
    </xf>
    <xf numFmtId="3" fontId="53" fillId="52" borderId="38" xfId="0" applyNumberFormat="1" applyFont="1" applyFill="1" applyBorder="1" applyAlignment="1">
      <alignment horizontal="center"/>
    </xf>
    <xf numFmtId="0" fontId="53" fillId="52" borderId="14" xfId="0" applyFont="1" applyFill="1" applyBorder="1" applyAlignment="1">
      <alignment horizontal="center"/>
    </xf>
    <xf numFmtId="3" fontId="53" fillId="52" borderId="33" xfId="0" applyNumberFormat="1" applyFont="1" applyFill="1" applyBorder="1" applyAlignment="1">
      <alignment horizontal="center"/>
    </xf>
    <xf numFmtId="0" fontId="53" fillId="52" borderId="33" xfId="0" applyFont="1" applyFill="1" applyBorder="1" applyAlignment="1">
      <alignment horizontal="center"/>
    </xf>
    <xf numFmtId="9" fontId="53" fillId="0" borderId="0" xfId="1" applyFont="1" applyBorder="1"/>
    <xf numFmtId="0" fontId="53" fillId="4" borderId="9" xfId="0" applyFont="1" applyFill="1" applyBorder="1" applyAlignment="1">
      <alignment horizontal="center"/>
    </xf>
    <xf numFmtId="3" fontId="53" fillId="4" borderId="9" xfId="0" applyNumberFormat="1" applyFont="1" applyFill="1" applyBorder="1" applyAlignment="1">
      <alignment horizontal="center"/>
    </xf>
    <xf numFmtId="3" fontId="53" fillId="4" borderId="36" xfId="0" applyNumberFormat="1" applyFont="1" applyFill="1" applyBorder="1" applyAlignment="1">
      <alignment horizontal="center"/>
    </xf>
    <xf numFmtId="0" fontId="53" fillId="4" borderId="8" xfId="0" applyFont="1" applyFill="1" applyBorder="1" applyAlignment="1">
      <alignment horizontal="center"/>
    </xf>
    <xf numFmtId="3" fontId="53" fillId="4" borderId="31" xfId="0" applyNumberFormat="1" applyFont="1" applyFill="1" applyBorder="1" applyAlignment="1">
      <alignment horizontal="center"/>
    </xf>
    <xf numFmtId="0" fontId="53" fillId="4" borderId="31" xfId="0" applyFont="1" applyFill="1" applyBorder="1" applyAlignment="1">
      <alignment horizontal="center"/>
    </xf>
    <xf numFmtId="3" fontId="53" fillId="4" borderId="87" xfId="0" applyNumberFormat="1" applyFont="1" applyFill="1" applyBorder="1" applyAlignment="1">
      <alignment horizontal="center"/>
    </xf>
    <xf numFmtId="0" fontId="53" fillId="4" borderId="15" xfId="0" applyFont="1" applyFill="1" applyBorder="1" applyAlignment="1">
      <alignment horizontal="center"/>
    </xf>
    <xf numFmtId="3" fontId="53" fillId="4" borderId="15" xfId="0" applyNumberFormat="1" applyFont="1" applyFill="1" applyBorder="1" applyAlignment="1">
      <alignment horizontal="center"/>
    </xf>
    <xf numFmtId="3" fontId="53" fillId="4" borderId="38" xfId="0" applyNumberFormat="1" applyFont="1" applyFill="1" applyBorder="1" applyAlignment="1">
      <alignment horizontal="center"/>
    </xf>
    <xf numFmtId="0" fontId="53" fillId="4" borderId="14" xfId="0" applyFont="1" applyFill="1" applyBorder="1" applyAlignment="1">
      <alignment horizontal="center"/>
    </xf>
    <xf numFmtId="3" fontId="53" fillId="4" borderId="33" xfId="0" applyNumberFormat="1" applyFont="1" applyFill="1" applyBorder="1" applyAlignment="1">
      <alignment horizontal="center"/>
    </xf>
    <xf numFmtId="0" fontId="53" fillId="4" borderId="33" xfId="0" applyFont="1" applyFill="1" applyBorder="1" applyAlignment="1">
      <alignment horizontal="center"/>
    </xf>
    <xf numFmtId="3" fontId="53" fillId="52" borderId="9" xfId="0" applyNumberFormat="1" applyFont="1" applyFill="1" applyBorder="1" applyAlignment="1">
      <alignment horizontal="center"/>
    </xf>
    <xf numFmtId="3" fontId="53" fillId="52" borderId="36" xfId="0" applyNumberFormat="1" applyFont="1" applyFill="1" applyBorder="1" applyAlignment="1">
      <alignment horizontal="center"/>
    </xf>
    <xf numFmtId="3" fontId="53" fillId="52" borderId="31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left" vertical="top" wrapText="1"/>
    </xf>
    <xf numFmtId="0" fontId="0" fillId="0" borderId="10" xfId="0" applyBorder="1" applyAlignment="1">
      <alignment wrapText="1"/>
    </xf>
    <xf numFmtId="0" fontId="3" fillId="2" borderId="11" xfId="0" applyFont="1" applyFill="1" applyBorder="1" applyAlignment="1">
      <alignment horizontal="left" vertical="top"/>
    </xf>
    <xf numFmtId="0" fontId="3" fillId="2" borderId="14" xfId="0" applyFont="1" applyFill="1" applyBorder="1" applyAlignment="1">
      <alignment horizontal="left" vertical="top"/>
    </xf>
    <xf numFmtId="0" fontId="3" fillId="2" borderId="15" xfId="0" applyFont="1" applyFill="1" applyBorder="1" applyAlignment="1">
      <alignment horizontal="left" vertical="top" wrapText="1"/>
    </xf>
    <xf numFmtId="0" fontId="0" fillId="0" borderId="16" xfId="0" applyBorder="1"/>
    <xf numFmtId="0" fontId="3" fillId="53" borderId="8" xfId="0" applyFont="1" applyFill="1" applyBorder="1" applyAlignment="1">
      <alignment horizontal="left" vertical="top"/>
    </xf>
    <xf numFmtId="0" fontId="3" fillId="53" borderId="9" xfId="0" applyFont="1" applyFill="1" applyBorder="1" applyAlignment="1">
      <alignment horizontal="left" vertical="top" wrapText="1"/>
    </xf>
    <xf numFmtId="0" fontId="0" fillId="0" borderId="68" xfId="0" applyBorder="1" applyAlignment="1">
      <alignment wrapText="1"/>
    </xf>
    <xf numFmtId="0" fontId="0" fillId="0" borderId="82" xfId="0" applyBorder="1" applyAlignment="1">
      <alignment wrapText="1"/>
    </xf>
    <xf numFmtId="0" fontId="3" fillId="54" borderId="14" xfId="0" applyFont="1" applyFill="1" applyBorder="1" applyAlignment="1">
      <alignment horizontal="left" vertical="top"/>
    </xf>
    <xf numFmtId="0" fontId="3" fillId="54" borderId="15" xfId="0" applyFont="1" applyFill="1" applyBorder="1" applyAlignment="1">
      <alignment horizontal="left" vertical="top" wrapText="1"/>
    </xf>
    <xf numFmtId="0" fontId="0" fillId="0" borderId="69" xfId="0" applyBorder="1" applyAlignment="1">
      <alignment vertical="top" wrapText="1"/>
    </xf>
    <xf numFmtId="0" fontId="3" fillId="4" borderId="35" xfId="0" applyFont="1" applyFill="1" applyBorder="1"/>
    <xf numFmtId="0" fontId="0" fillId="0" borderId="89" xfId="0" applyBorder="1"/>
    <xf numFmtId="0" fontId="0" fillId="0" borderId="21" xfId="0" applyBorder="1"/>
    <xf numFmtId="0" fontId="0" fillId="0" borderId="97" xfId="0" applyBorder="1"/>
    <xf numFmtId="0" fontId="3" fillId="57" borderId="17" xfId="0" applyNumberFormat="1" applyFont="1" applyFill="1" applyBorder="1"/>
    <xf numFmtId="3" fontId="0" fillId="55" borderId="13" xfId="0" applyNumberFormat="1" applyFont="1" applyFill="1" applyBorder="1" applyAlignment="1">
      <alignment horizontal="center"/>
    </xf>
    <xf numFmtId="0" fontId="0" fillId="57" borderId="89" xfId="0" applyFont="1" applyFill="1" applyBorder="1" applyAlignment="1">
      <alignment horizontal="center"/>
    </xf>
    <xf numFmtId="0" fontId="3" fillId="57" borderId="17" xfId="0" applyNumberFormat="1" applyFont="1" applyFill="1" applyBorder="1" applyAlignment="1">
      <alignment horizontal="center"/>
    </xf>
    <xf numFmtId="0" fontId="3" fillId="57" borderId="18" xfId="0" applyNumberFormat="1" applyFont="1" applyFill="1" applyBorder="1" applyAlignment="1">
      <alignment horizontal="center"/>
    </xf>
    <xf numFmtId="0" fontId="3" fillId="57" borderId="19" xfId="0" applyNumberFormat="1" applyFont="1" applyFill="1" applyBorder="1" applyAlignment="1">
      <alignment horizontal="center"/>
    </xf>
    <xf numFmtId="0" fontId="0" fillId="57" borderId="129" xfId="0" applyFont="1" applyFill="1" applyBorder="1" applyAlignment="1">
      <alignment horizontal="center"/>
    </xf>
    <xf numFmtId="0" fontId="0" fillId="57" borderId="11" xfId="0" applyFont="1" applyFill="1" applyBorder="1" applyAlignment="1">
      <alignment horizontal="center"/>
    </xf>
    <xf numFmtId="0" fontId="0" fillId="57" borderId="14" xfId="0" applyFont="1" applyFill="1" applyBorder="1" applyAlignment="1">
      <alignment horizontal="center"/>
    </xf>
    <xf numFmtId="0" fontId="3" fillId="4" borderId="88" xfId="0" applyFont="1" applyFill="1" applyBorder="1"/>
    <xf numFmtId="0" fontId="3" fillId="4" borderId="77" xfId="0" applyFont="1" applyFill="1" applyBorder="1"/>
    <xf numFmtId="0" fontId="0" fillId="0" borderId="148" xfId="0" applyBorder="1"/>
    <xf numFmtId="0" fontId="23" fillId="0" borderId="0" xfId="0" applyFont="1" applyAlignment="1">
      <alignment horizontal="center"/>
    </xf>
    <xf numFmtId="0" fontId="14" fillId="2" borderId="6" xfId="0" applyFont="1" applyFill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 wrapText="1"/>
    </xf>
    <xf numFmtId="14" fontId="16" fillId="0" borderId="0" xfId="0" applyNumberFormat="1" applyFont="1"/>
    <xf numFmtId="0" fontId="47" fillId="0" borderId="0" xfId="43" applyFont="1" applyProtection="1"/>
    <xf numFmtId="3" fontId="49" fillId="0" borderId="0" xfId="43" applyNumberFormat="1" applyFont="1" applyFill="1" applyBorder="1" applyAlignment="1" applyProtection="1">
      <alignment horizontal="center" vertical="center"/>
    </xf>
    <xf numFmtId="3" fontId="8" fillId="0" borderId="0" xfId="43" applyNumberFormat="1" applyFont="1" applyFill="1" applyBorder="1" applyAlignment="1" applyProtection="1">
      <alignment horizontal="center"/>
    </xf>
    <xf numFmtId="0" fontId="46" fillId="0" borderId="0" xfId="43" applyFont="1" applyFill="1" applyBorder="1" applyAlignment="1" applyProtection="1">
      <alignment horizontal="center" vertical="center" wrapText="1"/>
    </xf>
    <xf numFmtId="0" fontId="47" fillId="0" borderId="0" xfId="43" applyFont="1" applyFill="1" applyBorder="1" applyProtection="1"/>
    <xf numFmtId="0" fontId="47" fillId="0" borderId="0" xfId="43" applyNumberFormat="1" applyFont="1" applyFill="1" applyBorder="1" applyProtection="1"/>
    <xf numFmtId="3" fontId="49" fillId="0" borderId="1" xfId="43" applyNumberFormat="1" applyFont="1" applyFill="1" applyBorder="1" applyAlignment="1" applyProtection="1">
      <alignment horizontal="center" vertical="center"/>
    </xf>
    <xf numFmtId="0" fontId="47" fillId="0" borderId="1" xfId="43" applyFont="1" applyBorder="1" applyAlignment="1" applyProtection="1">
      <alignment horizontal="center" vertical="center"/>
    </xf>
    <xf numFmtId="3" fontId="48" fillId="3" borderId="1" xfId="43" applyNumberFormat="1" applyFont="1" applyFill="1" applyBorder="1" applyAlignment="1" applyProtection="1">
      <alignment horizontal="center" vertical="center"/>
    </xf>
    <xf numFmtId="0" fontId="39" fillId="0" borderId="1" xfId="43" applyFont="1" applyFill="1" applyBorder="1" applyAlignment="1" applyProtection="1">
      <alignment horizontal="center" vertical="center" wrapText="1"/>
    </xf>
    <xf numFmtId="0" fontId="39" fillId="0" borderId="1" xfId="43" applyFont="1" applyFill="1" applyBorder="1" applyAlignment="1" applyProtection="1">
      <alignment vertical="center" wrapText="1"/>
    </xf>
    <xf numFmtId="3" fontId="8" fillId="2" borderId="1" xfId="43" applyNumberFormat="1" applyFont="1" applyFill="1" applyBorder="1" applyAlignment="1" applyProtection="1">
      <alignment horizontal="center"/>
    </xf>
    <xf numFmtId="3" fontId="57" fillId="2" borderId="1" xfId="43" applyNumberFormat="1" applyFont="1" applyFill="1" applyBorder="1" applyAlignment="1" applyProtection="1">
      <alignment horizontal="center" vertical="center"/>
    </xf>
    <xf numFmtId="3" fontId="48" fillId="2" borderId="1" xfId="43" applyNumberFormat="1" applyFont="1" applyFill="1" applyBorder="1" applyAlignment="1" applyProtection="1">
      <alignment horizontal="center"/>
    </xf>
    <xf numFmtId="0" fontId="39" fillId="2" borderId="1" xfId="43" applyFont="1" applyFill="1" applyBorder="1" applyAlignment="1" applyProtection="1">
      <alignment vertical="center" wrapText="1"/>
    </xf>
    <xf numFmtId="0" fontId="45" fillId="0" borderId="0" xfId="43" applyFont="1" applyFill="1" applyBorder="1" applyAlignment="1" applyProtection="1">
      <alignment horizontal="center" vertical="center" wrapText="1"/>
    </xf>
    <xf numFmtId="0" fontId="45" fillId="7" borderId="1" xfId="43" applyFont="1" applyFill="1" applyBorder="1" applyAlignment="1" applyProtection="1">
      <alignment horizontal="center" vertical="center" wrapText="1"/>
    </xf>
    <xf numFmtId="0" fontId="46" fillId="6" borderId="1" xfId="43" applyFont="1" applyFill="1" applyBorder="1" applyAlignment="1" applyProtection="1">
      <alignment horizontal="center" vertical="center" wrapText="1"/>
    </xf>
    <xf numFmtId="0" fontId="51" fillId="6" borderId="1" xfId="43" applyFont="1" applyFill="1" applyBorder="1" applyAlignment="1" applyProtection="1">
      <alignment horizontal="center" vertical="center" wrapText="1"/>
    </xf>
    <xf numFmtId="0" fontId="45" fillId="0" borderId="0" xfId="43" applyFont="1" applyFill="1" applyBorder="1" applyAlignment="1" applyProtection="1">
      <alignment vertical="center" wrapText="1"/>
    </xf>
    <xf numFmtId="0" fontId="50" fillId="0" borderId="1" xfId="43" applyFont="1" applyFill="1" applyBorder="1" applyAlignment="1" applyProtection="1">
      <alignment horizontal="center" vertical="center" wrapText="1"/>
    </xf>
    <xf numFmtId="0" fontId="47" fillId="0" borderId="0" xfId="43" applyFont="1" applyFill="1" applyProtection="1"/>
    <xf numFmtId="0" fontId="47" fillId="0" borderId="0" xfId="43" applyFont="1" applyFill="1" applyBorder="1" applyAlignment="1" applyProtection="1">
      <alignment horizontal="center" vertical="center"/>
    </xf>
    <xf numFmtId="3" fontId="49" fillId="4" borderId="1" xfId="43" applyNumberFormat="1" applyFont="1" applyFill="1" applyBorder="1" applyAlignment="1" applyProtection="1">
      <alignment horizontal="center" vertical="center"/>
    </xf>
    <xf numFmtId="0" fontId="39" fillId="4" borderId="1" xfId="43" applyFont="1" applyFill="1" applyBorder="1" applyAlignment="1" applyProtection="1">
      <alignment horizontal="center" vertical="center" wrapText="1"/>
    </xf>
    <xf numFmtId="0" fontId="39" fillId="4" borderId="1" xfId="43" applyFont="1" applyFill="1" applyBorder="1" applyAlignment="1" applyProtection="1">
      <alignment vertical="center" wrapText="1"/>
    </xf>
    <xf numFmtId="3" fontId="48" fillId="0" borderId="0" xfId="43" applyNumberFormat="1" applyFont="1" applyFill="1" applyBorder="1" applyAlignment="1" applyProtection="1">
      <alignment horizontal="center" vertical="center"/>
    </xf>
    <xf numFmtId="0" fontId="39" fillId="0" borderId="0" xfId="43" applyFont="1" applyFill="1" applyBorder="1" applyAlignment="1" applyProtection="1">
      <alignment horizontal="center" vertical="center" wrapText="1"/>
    </xf>
    <xf numFmtId="164" fontId="78" fillId="0" borderId="1" xfId="44" applyNumberFormat="1" applyFont="1" applyFill="1" applyBorder="1" applyAlignment="1" applyProtection="1">
      <alignment horizontal="center" vertical="center"/>
    </xf>
    <xf numFmtId="3" fontId="48" fillId="0" borderId="1" xfId="43" applyNumberFormat="1" applyFont="1" applyFill="1" applyBorder="1" applyAlignment="1" applyProtection="1">
      <alignment horizontal="center" vertical="center"/>
    </xf>
    <xf numFmtId="164" fontId="79" fillId="0" borderId="1" xfId="44" applyNumberFormat="1" applyFont="1" applyFill="1" applyBorder="1" applyAlignment="1" applyProtection="1">
      <alignment horizontal="center" vertical="center"/>
    </xf>
    <xf numFmtId="164" fontId="9" fillId="2" borderId="1" xfId="44" applyNumberFormat="1" applyFont="1" applyFill="1" applyBorder="1" applyAlignment="1" applyProtection="1">
      <alignment horizontal="center" vertical="center"/>
    </xf>
    <xf numFmtId="3" fontId="48" fillId="2" borderId="1" xfId="43" applyNumberFormat="1" applyFont="1" applyFill="1" applyBorder="1" applyAlignment="1" applyProtection="1">
      <alignment horizontal="center" vertical="center"/>
    </xf>
    <xf numFmtId="3" fontId="8" fillId="2" borderId="1" xfId="43" applyNumberFormat="1" applyFont="1" applyFill="1" applyBorder="1" applyAlignment="1" applyProtection="1">
      <alignment horizontal="center" vertical="center"/>
    </xf>
    <xf numFmtId="0" fontId="39" fillId="2" borderId="1" xfId="43" applyFont="1" applyFill="1" applyBorder="1" applyAlignment="1" applyProtection="1">
      <alignment horizontal="center" vertical="center" wrapText="1"/>
    </xf>
    <xf numFmtId="0" fontId="46" fillId="0" borderId="0" xfId="43" applyFont="1" applyFill="1" applyBorder="1" applyAlignment="1" applyProtection="1">
      <alignment vertical="center" wrapText="1"/>
    </xf>
    <xf numFmtId="0" fontId="63" fillId="47" borderId="1" xfId="43" applyFont="1" applyFill="1" applyBorder="1" applyAlignment="1" applyProtection="1">
      <alignment horizontal="center" vertical="center" wrapText="1"/>
    </xf>
    <xf numFmtId="0" fontId="51" fillId="47" borderId="1" xfId="43" applyFont="1" applyFill="1" applyBorder="1" applyAlignment="1" applyProtection="1">
      <alignment horizontal="center" vertical="center" wrapText="1"/>
    </xf>
    <xf numFmtId="0" fontId="38" fillId="47" borderId="1" xfId="43" applyFont="1" applyFill="1" applyBorder="1" applyAlignment="1" applyProtection="1">
      <alignment horizontal="center" vertical="center" wrapText="1"/>
    </xf>
    <xf numFmtId="0" fontId="62" fillId="0" borderId="0" xfId="43" applyFont="1" applyProtection="1"/>
    <xf numFmtId="0" fontId="0" fillId="50" borderId="94" xfId="0" applyNumberFormat="1" applyFont="1" applyFill="1" applyBorder="1" applyAlignment="1">
      <alignment horizontal="center" vertical="center"/>
    </xf>
    <xf numFmtId="0" fontId="0" fillId="50" borderId="108" xfId="0" applyNumberFormat="1" applyFont="1" applyFill="1" applyBorder="1" applyAlignment="1">
      <alignment horizontal="center" vertical="center"/>
    </xf>
    <xf numFmtId="10" fontId="0" fillId="0" borderId="0" xfId="0" applyNumberFormat="1" applyAlignment="1">
      <alignment horizontal="center"/>
    </xf>
    <xf numFmtId="164" fontId="2" fillId="0" borderId="0" xfId="1" applyNumberFormat="1" applyFont="1"/>
    <xf numFmtId="164" fontId="67" fillId="0" borderId="0" xfId="1" applyNumberFormat="1" applyFont="1"/>
    <xf numFmtId="10" fontId="67" fillId="0" borderId="0" xfId="1" applyNumberFormat="1" applyFont="1" applyAlignment="1">
      <alignment horizontal="left"/>
    </xf>
    <xf numFmtId="164" fontId="16" fillId="0" borderId="0" xfId="1" applyNumberFormat="1" applyFont="1"/>
    <xf numFmtId="0" fontId="0" fillId="0" borderId="13" xfId="0" applyBorder="1" applyAlignment="1">
      <alignment horizontal="left" vertical="center" wrapText="1"/>
    </xf>
    <xf numFmtId="0" fontId="3" fillId="53" borderId="52" xfId="0" applyFont="1" applyFill="1" applyBorder="1" applyAlignment="1">
      <alignment horizontal="center"/>
    </xf>
    <xf numFmtId="0" fontId="3" fillId="53" borderId="147" xfId="0" applyFont="1" applyFill="1" applyBorder="1" applyAlignment="1">
      <alignment horizontal="center"/>
    </xf>
    <xf numFmtId="0" fontId="3" fillId="2" borderId="146" xfId="0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4" fontId="23" fillId="0" borderId="0" xfId="0" applyNumberFormat="1" applyFont="1" applyAlignment="1">
      <alignment horizontal="center"/>
    </xf>
    <xf numFmtId="10" fontId="22" fillId="2" borderId="39" xfId="0" applyNumberFormat="1" applyFont="1" applyFill="1" applyBorder="1" applyAlignment="1">
      <alignment horizontal="center" vertical="center" wrapText="1"/>
    </xf>
    <xf numFmtId="10" fontId="22" fillId="2" borderId="40" xfId="0" applyNumberFormat="1" applyFont="1" applyFill="1" applyBorder="1" applyAlignment="1">
      <alignment horizontal="center" vertical="center" wrapText="1"/>
    </xf>
    <xf numFmtId="10" fontId="22" fillId="2" borderId="41" xfId="0" applyNumberFormat="1" applyFont="1" applyFill="1" applyBorder="1" applyAlignment="1">
      <alignment horizontal="center" vertical="center" wrapText="1"/>
    </xf>
    <xf numFmtId="10" fontId="22" fillId="2" borderId="72" xfId="0" applyNumberFormat="1" applyFont="1" applyFill="1" applyBorder="1" applyAlignment="1">
      <alignment horizontal="center" vertical="center" wrapText="1"/>
    </xf>
    <xf numFmtId="10" fontId="22" fillId="2" borderId="73" xfId="0" applyNumberFormat="1" applyFont="1" applyFill="1" applyBorder="1" applyAlignment="1">
      <alignment horizontal="center" vertical="center" wrapText="1"/>
    </xf>
    <xf numFmtId="10" fontId="22" fillId="2" borderId="74" xfId="0" applyNumberFormat="1" applyFont="1" applyFill="1" applyBorder="1" applyAlignment="1">
      <alignment horizontal="center" vertical="center" wrapText="1"/>
    </xf>
    <xf numFmtId="0" fontId="23" fillId="0" borderId="124" xfId="0" applyFont="1" applyBorder="1" applyAlignment="1">
      <alignment horizontal="center"/>
    </xf>
    <xf numFmtId="0" fontId="23" fillId="0" borderId="125" xfId="0" applyFont="1" applyBorder="1" applyAlignment="1">
      <alignment horizontal="center"/>
    </xf>
    <xf numFmtId="0" fontId="23" fillId="0" borderId="72" xfId="0" applyFont="1" applyBorder="1" applyAlignment="1">
      <alignment horizontal="center"/>
    </xf>
    <xf numFmtId="14" fontId="23" fillId="0" borderId="126" xfId="0" applyNumberFormat="1" applyFont="1" applyBorder="1" applyAlignment="1">
      <alignment horizontal="center"/>
    </xf>
    <xf numFmtId="14" fontId="23" fillId="0" borderId="127" xfId="0" applyNumberFormat="1" applyFont="1" applyBorder="1" applyAlignment="1">
      <alignment horizontal="center"/>
    </xf>
    <xf numFmtId="14" fontId="23" fillId="0" borderId="74" xfId="0" applyNumberFormat="1" applyFont="1" applyBorder="1" applyAlignment="1">
      <alignment horizontal="center"/>
    </xf>
    <xf numFmtId="0" fontId="3" fillId="1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3" fillId="52" borderId="35" xfId="0" applyFont="1" applyFill="1" applyBorder="1" applyAlignment="1">
      <alignment horizontal="center"/>
    </xf>
    <xf numFmtId="0" fontId="3" fillId="52" borderId="23" xfId="0" applyFont="1" applyFill="1" applyBorder="1" applyAlignment="1">
      <alignment horizontal="center"/>
    </xf>
    <xf numFmtId="0" fontId="3" fillId="52" borderId="24" xfId="0" applyFont="1" applyFill="1" applyBorder="1" applyAlignment="1">
      <alignment horizontal="center"/>
    </xf>
    <xf numFmtId="0" fontId="3" fillId="0" borderId="29" xfId="0" applyFont="1" applyBorder="1" applyAlignment="1">
      <alignment horizontal="center" wrapText="1"/>
    </xf>
    <xf numFmtId="0" fontId="3" fillId="0" borderId="83" xfId="0" applyFont="1" applyBorder="1" applyAlignment="1">
      <alignment horizontal="center" wrapText="1"/>
    </xf>
    <xf numFmtId="16" fontId="3" fillId="53" borderId="29" xfId="0" applyNumberFormat="1" applyFont="1" applyFill="1" applyBorder="1" applyAlignment="1">
      <alignment horizontal="center" vertical="center"/>
    </xf>
    <xf numFmtId="16" fontId="3" fillId="53" borderId="83" xfId="0" applyNumberFormat="1" applyFont="1" applyFill="1" applyBorder="1" applyAlignment="1">
      <alignment horizontal="center" vertical="center"/>
    </xf>
    <xf numFmtId="0" fontId="3" fillId="0" borderId="141" xfId="0" applyFont="1" applyBorder="1" applyAlignment="1">
      <alignment horizontal="left"/>
    </xf>
    <xf numFmtId="16" fontId="3" fillId="4" borderId="29" xfId="0" applyNumberFormat="1" applyFont="1" applyFill="1" applyBorder="1" applyAlignment="1">
      <alignment horizontal="center" vertical="center"/>
    </xf>
    <xf numFmtId="16" fontId="3" fillId="4" borderId="83" xfId="0" applyNumberFormat="1" applyFont="1" applyFill="1" applyBorder="1" applyAlignment="1">
      <alignment horizontal="center" vertical="center"/>
    </xf>
    <xf numFmtId="0" fontId="54" fillId="2" borderId="35" xfId="0" applyFont="1" applyFill="1" applyBorder="1" applyAlignment="1">
      <alignment horizontal="center"/>
    </xf>
    <xf numFmtId="0" fontId="54" fillId="2" borderId="23" xfId="0" applyFont="1" applyFill="1" applyBorder="1" applyAlignment="1">
      <alignment horizontal="center"/>
    </xf>
    <xf numFmtId="0" fontId="54" fillId="2" borderId="24" xfId="0" applyFont="1" applyFill="1" applyBorder="1" applyAlignment="1">
      <alignment horizontal="center"/>
    </xf>
    <xf numFmtId="0" fontId="52" fillId="53" borderId="35" xfId="0" applyFont="1" applyFill="1" applyBorder="1" applyAlignment="1">
      <alignment horizontal="center"/>
    </xf>
    <xf numFmtId="0" fontId="52" fillId="53" borderId="23" xfId="0" applyFont="1" applyFill="1" applyBorder="1" applyAlignment="1">
      <alignment horizontal="center"/>
    </xf>
    <xf numFmtId="0" fontId="52" fillId="53" borderId="24" xfId="0" applyFont="1" applyFill="1" applyBorder="1" applyAlignment="1">
      <alignment horizontal="center"/>
    </xf>
    <xf numFmtId="9" fontId="3" fillId="45" borderId="29" xfId="1" applyFont="1" applyFill="1" applyBorder="1" applyAlignment="1">
      <alignment horizontal="center" vertical="center" wrapText="1"/>
    </xf>
    <xf numFmtId="9" fontId="3" fillId="45" borderId="30" xfId="1" applyFont="1" applyFill="1" applyBorder="1" applyAlignment="1">
      <alignment horizontal="center" vertical="center" wrapText="1"/>
    </xf>
    <xf numFmtId="9" fontId="3" fillId="45" borderId="83" xfId="1" applyFont="1" applyFill="1" applyBorder="1" applyAlignment="1">
      <alignment horizontal="center" vertical="center" wrapText="1"/>
    </xf>
    <xf numFmtId="9" fontId="52" fillId="2" borderId="29" xfId="1" applyFont="1" applyFill="1" applyBorder="1" applyAlignment="1">
      <alignment horizontal="center" vertical="center"/>
    </xf>
    <xf numFmtId="9" fontId="52" fillId="2" borderId="30" xfId="1" applyFont="1" applyFill="1" applyBorder="1" applyAlignment="1">
      <alignment horizontal="center" vertical="center"/>
    </xf>
    <xf numFmtId="9" fontId="55" fillId="2" borderId="29" xfId="1" applyFont="1" applyFill="1" applyBorder="1" applyAlignment="1">
      <alignment horizontal="center" vertical="center"/>
    </xf>
    <xf numFmtId="9" fontId="55" fillId="2" borderId="30" xfId="1" applyFont="1" applyFill="1" applyBorder="1" applyAlignment="1">
      <alignment horizontal="center" vertical="center"/>
    </xf>
    <xf numFmtId="9" fontId="55" fillId="2" borderId="83" xfId="1" applyFont="1" applyFill="1" applyBorder="1" applyAlignment="1">
      <alignment horizontal="center" vertical="center"/>
    </xf>
    <xf numFmtId="9" fontId="3" fillId="45" borderId="29" xfId="1" applyFont="1" applyFill="1" applyBorder="1" applyAlignment="1">
      <alignment horizontal="center" vertical="center"/>
    </xf>
    <xf numFmtId="9" fontId="3" fillId="45" borderId="83" xfId="1" applyFont="1" applyFill="1" applyBorder="1" applyAlignment="1">
      <alignment horizontal="center" vertical="center"/>
    </xf>
    <xf numFmtId="9" fontId="3" fillId="45" borderId="30" xfId="1" applyFont="1" applyFill="1" applyBorder="1" applyAlignment="1">
      <alignment horizontal="center" vertical="center"/>
    </xf>
    <xf numFmtId="9" fontId="52" fillId="2" borderId="83" xfId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9" fillId="0" borderId="1" xfId="43" applyFont="1" applyFill="1" applyBorder="1" applyAlignment="1" applyProtection="1">
      <alignment horizontal="center" vertical="center" wrapText="1"/>
    </xf>
    <xf numFmtId="0" fontId="47" fillId="4" borderId="1" xfId="43" applyFont="1" applyFill="1" applyBorder="1" applyAlignment="1" applyProtection="1">
      <alignment horizontal="center"/>
    </xf>
    <xf numFmtId="0" fontId="9" fillId="0" borderId="4" xfId="43" applyFont="1" applyFill="1" applyBorder="1" applyAlignment="1" applyProtection="1">
      <alignment horizontal="center" vertical="center" wrapText="1"/>
    </xf>
    <xf numFmtId="0" fontId="9" fillId="0" borderId="3" xfId="43" applyFont="1" applyFill="1" applyBorder="1" applyAlignment="1" applyProtection="1">
      <alignment horizontal="center" vertical="center" wrapText="1"/>
    </xf>
    <xf numFmtId="0" fontId="9" fillId="0" borderId="2" xfId="43" applyFont="1" applyFill="1" applyBorder="1" applyAlignment="1" applyProtection="1">
      <alignment horizontal="center" vertical="center" wrapText="1"/>
    </xf>
    <xf numFmtId="0" fontId="46" fillId="6" borderId="51" xfId="43" applyFont="1" applyFill="1" applyBorder="1" applyAlignment="1" applyProtection="1">
      <alignment horizontal="center" vertical="center" wrapText="1"/>
    </xf>
    <xf numFmtId="0" fontId="46" fillId="6" borderId="123" xfId="43" applyFont="1" applyFill="1" applyBorder="1" applyAlignment="1" applyProtection="1">
      <alignment horizontal="center" vertical="center" wrapText="1"/>
    </xf>
    <xf numFmtId="0" fontId="45" fillId="7" borderId="1" xfId="43" applyFont="1" applyFill="1" applyBorder="1" applyAlignment="1" applyProtection="1">
      <alignment horizontal="center" vertical="center" wrapText="1"/>
    </xf>
    <xf numFmtId="0" fontId="72" fillId="0" borderId="142" xfId="0" applyFont="1" applyFill="1" applyBorder="1" applyAlignment="1">
      <alignment horizontal="center" vertical="center" wrapText="1"/>
    </xf>
    <xf numFmtId="0" fontId="72" fillId="0" borderId="143" xfId="0" applyFont="1" applyFill="1" applyBorder="1" applyAlignment="1">
      <alignment horizontal="center" vertical="center" wrapText="1"/>
    </xf>
    <xf numFmtId="0" fontId="72" fillId="0" borderId="14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10" fontId="3" fillId="9" borderId="29" xfId="1" applyNumberFormat="1" applyFont="1" applyFill="1" applyBorder="1" applyAlignment="1">
      <alignment horizontal="center" vertical="center"/>
    </xf>
    <xf numFmtId="10" fontId="3" fillId="9" borderId="30" xfId="1" applyNumberFormat="1" applyFont="1" applyFill="1" applyBorder="1" applyAlignment="1">
      <alignment horizontal="center" vertical="center"/>
    </xf>
    <xf numFmtId="10" fontId="3" fillId="9" borderId="83" xfId="1" applyNumberFormat="1" applyFont="1" applyFill="1" applyBorder="1" applyAlignment="1">
      <alignment horizontal="center" vertical="center"/>
    </xf>
    <xf numFmtId="0" fontId="20" fillId="9" borderId="35" xfId="0" applyFont="1" applyFill="1" applyBorder="1" applyAlignment="1">
      <alignment horizontal="center"/>
    </xf>
    <xf numFmtId="0" fontId="20" fillId="9" borderId="23" xfId="0" applyFont="1" applyFill="1" applyBorder="1" applyAlignment="1">
      <alignment horizontal="center"/>
    </xf>
    <xf numFmtId="0" fontId="20" fillId="9" borderId="24" xfId="0" applyFont="1" applyFill="1" applyBorder="1" applyAlignment="1">
      <alignment horizontal="center"/>
    </xf>
    <xf numFmtId="0" fontId="0" fillId="0" borderId="29" xfId="0" applyFont="1" applyBorder="1" applyAlignment="1">
      <alignment horizontal="center" vertical="center" wrapText="1"/>
    </xf>
    <xf numFmtId="0" fontId="0" fillId="0" borderId="83" xfId="0" applyFont="1" applyBorder="1" applyAlignment="1">
      <alignment horizontal="center" vertical="center" wrapText="1"/>
    </xf>
    <xf numFmtId="0" fontId="75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2" fillId="52" borderId="35" xfId="0" applyFont="1" applyFill="1" applyBorder="1" applyAlignment="1">
      <alignment horizontal="center"/>
    </xf>
    <xf numFmtId="0" fontId="52" fillId="52" borderId="23" xfId="0" applyFont="1" applyFill="1" applyBorder="1" applyAlignment="1">
      <alignment horizontal="center"/>
    </xf>
    <xf numFmtId="0" fontId="52" fillId="52" borderId="24" xfId="0" applyFont="1" applyFill="1" applyBorder="1" applyAlignment="1">
      <alignment horizontal="center"/>
    </xf>
    <xf numFmtId="0" fontId="52" fillId="4" borderId="35" xfId="0" applyFont="1" applyFill="1" applyBorder="1" applyAlignment="1">
      <alignment horizontal="center"/>
    </xf>
    <xf numFmtId="0" fontId="52" fillId="4" borderId="23" xfId="0" applyFont="1" applyFill="1" applyBorder="1" applyAlignment="1">
      <alignment horizontal="center"/>
    </xf>
    <xf numFmtId="0" fontId="52" fillId="4" borderId="24" xfId="0" applyFont="1" applyFill="1" applyBorder="1" applyAlignment="1">
      <alignment horizontal="center"/>
    </xf>
    <xf numFmtId="0" fontId="0" fillId="0" borderId="68" xfId="0" applyBorder="1" applyAlignment="1">
      <alignment vertical="center" wrapText="1"/>
    </xf>
    <xf numFmtId="164" fontId="71" fillId="0" borderId="87" xfId="1" applyNumberFormat="1" applyFont="1" applyBorder="1" applyAlignment="1">
      <alignment horizontal="center"/>
    </xf>
    <xf numFmtId="0" fontId="71" fillId="0" borderId="0" xfId="0" applyFont="1"/>
    <xf numFmtId="0" fontId="0" fillId="0" borderId="88" xfId="0" applyBorder="1"/>
    <xf numFmtId="0" fontId="0" fillId="0" borderId="77" xfId="0" applyBorder="1"/>
    <xf numFmtId="0" fontId="0" fillId="0" borderId="78" xfId="0" applyBorder="1"/>
    <xf numFmtId="165" fontId="0" fillId="0" borderId="78" xfId="45" applyNumberFormat="1" applyFont="1" applyBorder="1"/>
    <xf numFmtId="165" fontId="0" fillId="0" borderId="79" xfId="45" applyNumberFormat="1" applyFont="1" applyBorder="1"/>
    <xf numFmtId="165" fontId="0" fillId="0" borderId="29" xfId="45" applyNumberFormat="1" applyFont="1" applyBorder="1"/>
    <xf numFmtId="9" fontId="3" fillId="45" borderId="81" xfId="1" applyFont="1" applyFill="1" applyBorder="1" applyAlignment="1">
      <alignment horizontal="center" vertical="center" wrapText="1"/>
    </xf>
    <xf numFmtId="9" fontId="3" fillId="45" borderId="82" xfId="1" applyFont="1" applyFill="1" applyBorder="1" applyAlignment="1">
      <alignment horizontal="center" vertical="center" wrapText="1"/>
    </xf>
    <xf numFmtId="0" fontId="0" fillId="0" borderId="149" xfId="0" applyBorder="1"/>
    <xf numFmtId="0" fontId="0" fillId="0" borderId="150" xfId="0" applyBorder="1"/>
    <xf numFmtId="0" fontId="0" fillId="0" borderId="133" xfId="0" applyBorder="1"/>
    <xf numFmtId="0" fontId="0" fillId="0" borderId="151" xfId="0" applyBorder="1"/>
    <xf numFmtId="0" fontId="0" fillId="0" borderId="83" xfId="0" applyBorder="1"/>
    <xf numFmtId="9" fontId="3" fillId="45" borderId="152" xfId="1" applyFont="1" applyFill="1" applyBorder="1" applyAlignment="1">
      <alignment horizontal="center" vertical="center" wrapText="1"/>
    </xf>
    <xf numFmtId="0" fontId="0" fillId="45" borderId="83" xfId="0" applyFill="1" applyBorder="1"/>
    <xf numFmtId="0" fontId="0" fillId="45" borderId="135" xfId="0" applyFill="1" applyBorder="1"/>
    <xf numFmtId="0" fontId="0" fillId="45" borderId="133" xfId="0" applyFill="1" applyBorder="1"/>
    <xf numFmtId="165" fontId="0" fillId="45" borderId="133" xfId="45" applyNumberFormat="1" applyFont="1" applyFill="1" applyBorder="1"/>
    <xf numFmtId="165" fontId="0" fillId="45" borderId="136" xfId="45" applyNumberFormat="1" applyFont="1" applyFill="1" applyBorder="1"/>
    <xf numFmtId="165" fontId="0" fillId="45" borderId="83" xfId="45" applyNumberFormat="1" applyFont="1" applyFill="1" applyBorder="1"/>
    <xf numFmtId="0" fontId="0" fillId="0" borderId="33" xfId="0" applyBorder="1"/>
    <xf numFmtId="0" fontId="0" fillId="0" borderId="118" xfId="0" applyBorder="1"/>
    <xf numFmtId="0" fontId="0" fillId="0" borderId="15" xfId="0" applyBorder="1"/>
    <xf numFmtId="165" fontId="0" fillId="0" borderId="15" xfId="45" applyNumberFormat="1" applyFont="1" applyBorder="1"/>
    <xf numFmtId="165" fontId="0" fillId="0" borderId="38" xfId="45" applyNumberFormat="1" applyFont="1" applyBorder="1"/>
    <xf numFmtId="165" fontId="0" fillId="0" borderId="33" xfId="45" applyNumberFormat="1" applyFont="1" applyBorder="1"/>
    <xf numFmtId="9" fontId="3" fillId="0" borderId="0" xfId="1" applyFont="1" applyFill="1" applyBorder="1" applyAlignment="1">
      <alignment horizontal="center" vertical="center" wrapText="1"/>
    </xf>
    <xf numFmtId="9" fontId="3" fillId="45" borderId="29" xfId="1" applyNumberFormat="1" applyFont="1" applyFill="1" applyBorder="1" applyAlignment="1">
      <alignment horizontal="center" vertical="center" wrapText="1"/>
    </xf>
    <xf numFmtId="9" fontId="3" fillId="45" borderId="30" xfId="1" applyNumberFormat="1" applyFont="1" applyFill="1" applyBorder="1" applyAlignment="1">
      <alignment horizontal="center" vertical="center" wrapText="1"/>
    </xf>
    <xf numFmtId="9" fontId="3" fillId="45" borderId="83" xfId="1" applyNumberFormat="1" applyFont="1" applyFill="1" applyBorder="1" applyAlignment="1">
      <alignment horizontal="center" vertical="center" wrapText="1"/>
    </xf>
    <xf numFmtId="0" fontId="3" fillId="2" borderId="150" xfId="0" applyFont="1" applyFill="1" applyBorder="1" applyAlignment="1">
      <alignment horizontal="left"/>
    </xf>
    <xf numFmtId="0" fontId="3" fillId="2" borderId="133" xfId="0" applyNumberFormat="1" applyFont="1" applyFill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36" xfId="0" applyNumberFormat="1" applyBorder="1" applyAlignment="1">
      <alignment horizontal="center"/>
    </xf>
    <xf numFmtId="0" fontId="0" fillId="2" borderId="31" xfId="0" applyNumberFormat="1" applyFill="1" applyBorder="1" applyAlignment="1">
      <alignment horizontal="center"/>
    </xf>
    <xf numFmtId="0" fontId="0" fillId="0" borderId="14" xfId="0" applyBorder="1" applyAlignment="1">
      <alignment horizontal="left" indent="1"/>
    </xf>
    <xf numFmtId="0" fontId="0" fillId="0" borderId="15" xfId="0" applyNumberFormat="1" applyBorder="1" applyAlignment="1">
      <alignment horizontal="center"/>
    </xf>
    <xf numFmtId="0" fontId="0" fillId="0" borderId="38" xfId="0" applyNumberFormat="1" applyBorder="1" applyAlignment="1">
      <alignment horizontal="center"/>
    </xf>
    <xf numFmtId="0" fontId="0" fillId="2" borderId="33" xfId="0" applyNumberFormat="1" applyFill="1" applyBorder="1" applyAlignment="1">
      <alignment horizontal="center"/>
    </xf>
    <xf numFmtId="0" fontId="3" fillId="2" borderId="153" xfId="0" applyFont="1" applyFill="1" applyBorder="1" applyAlignment="1">
      <alignment horizontal="left"/>
    </xf>
    <xf numFmtId="0" fontId="3" fillId="2" borderId="154" xfId="0" applyNumberFormat="1" applyFont="1" applyFill="1" applyBorder="1" applyAlignment="1">
      <alignment horizontal="center"/>
    </xf>
    <xf numFmtId="0" fontId="3" fillId="2" borderId="155" xfId="0" applyNumberFormat="1" applyFont="1" applyFill="1" applyBorder="1" applyAlignment="1">
      <alignment horizontal="center"/>
    </xf>
    <xf numFmtId="165" fontId="0" fillId="0" borderId="109" xfId="45" applyNumberFormat="1" applyFont="1" applyBorder="1" applyAlignment="1">
      <alignment horizontal="center"/>
    </xf>
    <xf numFmtId="165" fontId="0" fillId="0" borderId="118" xfId="45" applyNumberFormat="1" applyFont="1" applyBorder="1" applyAlignment="1">
      <alignment horizontal="center"/>
    </xf>
    <xf numFmtId="165" fontId="0" fillId="2" borderId="33" xfId="45" applyNumberFormat="1" applyFont="1" applyFill="1" applyBorder="1" applyAlignment="1">
      <alignment horizontal="center"/>
    </xf>
    <xf numFmtId="164" fontId="0" fillId="2" borderId="33" xfId="1" applyNumberFormat="1" applyFont="1" applyFill="1" applyBorder="1"/>
    <xf numFmtId="0" fontId="0" fillId="2" borderId="10" xfId="0" applyNumberFormat="1" applyFill="1" applyBorder="1" applyAlignment="1">
      <alignment horizontal="center"/>
    </xf>
    <xf numFmtId="0" fontId="0" fillId="2" borderId="16" xfId="0" applyNumberFormat="1" applyFill="1" applyBorder="1" applyAlignment="1">
      <alignment horizontal="center"/>
    </xf>
    <xf numFmtId="0" fontId="3" fillId="56" borderId="17" xfId="0" applyNumberFormat="1" applyFont="1" applyFill="1" applyBorder="1" applyAlignment="1">
      <alignment horizontal="center"/>
    </xf>
    <xf numFmtId="0" fontId="3" fillId="56" borderId="18" xfId="0" applyNumberFormat="1" applyFont="1" applyFill="1" applyBorder="1" applyAlignment="1">
      <alignment horizontal="center"/>
    </xf>
    <xf numFmtId="0" fontId="3" fillId="56" borderId="19" xfId="0" applyNumberFormat="1" applyFont="1" applyFill="1" applyBorder="1" applyAlignment="1">
      <alignment horizontal="center"/>
    </xf>
    <xf numFmtId="0" fontId="3" fillId="56" borderId="24" xfId="0" applyNumberFormat="1" applyFont="1" applyFill="1" applyBorder="1" applyAlignment="1">
      <alignment horizontal="center"/>
    </xf>
    <xf numFmtId="0" fontId="3" fillId="56" borderId="78" xfId="0" applyFont="1" applyFill="1" applyBorder="1" applyAlignment="1">
      <alignment horizontal="center"/>
    </xf>
    <xf numFmtId="0" fontId="42" fillId="2" borderId="114" xfId="0" applyFont="1" applyFill="1" applyBorder="1" applyAlignment="1">
      <alignment horizontal="center"/>
    </xf>
    <xf numFmtId="0" fontId="0" fillId="0" borderId="106" xfId="0" applyBorder="1" applyAlignment="1">
      <alignment horizontal="center"/>
    </xf>
    <xf numFmtId="0" fontId="0" fillId="0" borderId="95" xfId="0" applyBorder="1" applyAlignment="1">
      <alignment horizontal="center"/>
    </xf>
    <xf numFmtId="0" fontId="0" fillId="0" borderId="109" xfId="0" applyBorder="1" applyAlignment="1">
      <alignment horizontal="center"/>
    </xf>
    <xf numFmtId="0" fontId="3" fillId="2" borderId="114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3" fillId="2" borderId="119" xfId="0" applyFont="1" applyFill="1" applyBorder="1" applyAlignment="1">
      <alignment horizontal="center"/>
    </xf>
    <xf numFmtId="165" fontId="35" fillId="61" borderId="11" xfId="45" applyNumberFormat="1" applyFont="1" applyFill="1" applyBorder="1"/>
    <xf numFmtId="165" fontId="35" fillId="61" borderId="12" xfId="45" applyNumberFormat="1" applyFont="1" applyFill="1" applyBorder="1"/>
    <xf numFmtId="165" fontId="35" fillId="61" borderId="12" xfId="45" applyNumberFormat="1" applyFont="1" applyFill="1" applyBorder="1" applyAlignment="1">
      <alignment horizontal="center"/>
    </xf>
    <xf numFmtId="165" fontId="35" fillId="61" borderId="12" xfId="45" applyNumberFormat="1" applyFont="1" applyFill="1" applyBorder="1" applyAlignment="1">
      <alignment horizontal="center" vertical="center"/>
    </xf>
    <xf numFmtId="0" fontId="0" fillId="0" borderId="29" xfId="0" applyBorder="1"/>
    <xf numFmtId="165" fontId="0" fillId="0" borderId="81" xfId="45" applyNumberFormat="1" applyFont="1" applyBorder="1"/>
    <xf numFmtId="165" fontId="0" fillId="0" borderId="14" xfId="45" applyNumberFormat="1" applyFont="1" applyBorder="1"/>
    <xf numFmtId="165" fontId="0" fillId="0" borderId="16" xfId="45" applyNumberFormat="1" applyFont="1" applyBorder="1"/>
    <xf numFmtId="165" fontId="0" fillId="0" borderId="152" xfId="45" applyNumberFormat="1" applyFont="1" applyBorder="1"/>
    <xf numFmtId="0" fontId="3" fillId="56" borderId="0" xfId="0" applyFont="1" applyFill="1" applyBorder="1" applyAlignment="1">
      <alignment horizontal="left"/>
    </xf>
    <xf numFmtId="165" fontId="81" fillId="0" borderId="0" xfId="0" applyNumberFormat="1" applyFont="1"/>
    <xf numFmtId="9" fontId="81" fillId="0" borderId="0" xfId="1" applyFont="1" applyAlignment="1">
      <alignment horizontal="left"/>
    </xf>
    <xf numFmtId="0" fontId="81" fillId="0" borderId="0" xfId="0" applyFont="1"/>
    <xf numFmtId="164" fontId="82" fillId="0" borderId="87" xfId="1" applyNumberFormat="1" applyFont="1" applyBorder="1" applyAlignment="1">
      <alignment horizontal="center"/>
    </xf>
    <xf numFmtId="0" fontId="82" fillId="0" borderId="0" xfId="0" applyFont="1"/>
    <xf numFmtId="0" fontId="35" fillId="0" borderId="0" xfId="0" applyFont="1"/>
    <xf numFmtId="0" fontId="35" fillId="0" borderId="0" xfId="0" applyFont="1" applyAlignment="1">
      <alignment horizontal="center"/>
    </xf>
    <xf numFmtId="0" fontId="3" fillId="9" borderId="129" xfId="0" applyFont="1" applyFill="1" applyBorder="1" applyAlignment="1">
      <alignment horizontal="left" vertical="top"/>
    </xf>
    <xf numFmtId="0" fontId="3" fillId="9" borderId="130" xfId="0" applyFont="1" applyFill="1" applyBorder="1" applyAlignment="1">
      <alignment horizontal="left" vertical="top" wrapText="1"/>
    </xf>
    <xf numFmtId="0" fontId="3" fillId="53" borderId="14" xfId="0" applyFont="1" applyFill="1" applyBorder="1" applyAlignment="1">
      <alignment horizontal="left" vertical="top"/>
    </xf>
    <xf numFmtId="0" fontId="3" fillId="53" borderId="15" xfId="0" applyFont="1" applyFill="1" applyBorder="1" applyAlignment="1">
      <alignment horizontal="left" vertical="top" wrapText="1"/>
    </xf>
    <xf numFmtId="0" fontId="3" fillId="9" borderId="102" xfId="0" applyFont="1" applyFill="1" applyBorder="1" applyAlignment="1">
      <alignment horizontal="left" vertical="top"/>
    </xf>
    <xf numFmtId="0" fontId="3" fillId="9" borderId="103" xfId="0" applyFont="1" applyFill="1" applyBorder="1" applyAlignment="1">
      <alignment horizontal="left" vertical="top" wrapText="1"/>
    </xf>
    <xf numFmtId="0" fontId="0" fillId="0" borderId="82" xfId="0" applyBorder="1" applyAlignment="1">
      <alignment vertical="top" wrapText="1"/>
    </xf>
    <xf numFmtId="0" fontId="3" fillId="54" borderId="8" xfId="0" applyFont="1" applyFill="1" applyBorder="1" applyAlignment="1">
      <alignment horizontal="left" vertical="top"/>
    </xf>
    <xf numFmtId="0" fontId="3" fillId="54" borderId="9" xfId="0" applyFont="1" applyFill="1" applyBorder="1" applyAlignment="1">
      <alignment horizontal="left" vertical="top" wrapText="1"/>
    </xf>
    <xf numFmtId="3" fontId="35" fillId="61" borderId="12" xfId="0" applyNumberFormat="1" applyFont="1" applyFill="1" applyBorder="1" applyAlignment="1">
      <alignment horizontal="center"/>
    </xf>
    <xf numFmtId="0" fontId="35" fillId="61" borderId="21" xfId="0" applyFont="1" applyFill="1" applyBorder="1" applyAlignment="1">
      <alignment horizontal="center"/>
    </xf>
    <xf numFmtId="0" fontId="44" fillId="10" borderId="20" xfId="0" applyFont="1" applyFill="1" applyBorder="1" applyAlignment="1">
      <alignment horizontal="center" vertical="center" wrapText="1"/>
    </xf>
    <xf numFmtId="0" fontId="44" fillId="10" borderId="156" xfId="0" applyFont="1" applyFill="1" applyBorder="1" applyAlignment="1">
      <alignment horizontal="center" vertical="center" wrapText="1"/>
    </xf>
    <xf numFmtId="0" fontId="44" fillId="10" borderId="68" xfId="0" applyFont="1" applyFill="1" applyBorder="1" applyAlignment="1">
      <alignment horizontal="center" vertical="center" wrapText="1"/>
    </xf>
    <xf numFmtId="0" fontId="3" fillId="10" borderId="22" xfId="0" applyFont="1" applyFill="1" applyBorder="1" applyAlignment="1">
      <alignment horizontal="center" vertical="center"/>
    </xf>
    <xf numFmtId="0" fontId="3" fillId="10" borderId="157" xfId="0" applyFont="1" applyFill="1" applyBorder="1" applyAlignment="1">
      <alignment horizontal="center" vertical="center"/>
    </xf>
    <xf numFmtId="0" fontId="3" fillId="10" borderId="69" xfId="0" applyFont="1" applyFill="1" applyBorder="1" applyAlignment="1">
      <alignment horizontal="center" vertical="center"/>
    </xf>
  </cellXfs>
  <cellStyles count="46">
    <cellStyle name="20% - Énfasis1" xfId="19" builtinId="30" customBuiltin="1"/>
    <cellStyle name="20% - Énfasis2" xfId="22" builtinId="34" customBuiltin="1"/>
    <cellStyle name="20% - Énfasis3" xfId="25" builtinId="38" customBuiltin="1"/>
    <cellStyle name="20% - Énfasis4" xfId="28" builtinId="42" customBuiltin="1"/>
    <cellStyle name="20% - Énfasis5" xfId="31" builtinId="46" customBuiltin="1"/>
    <cellStyle name="20% - Énfasis6" xfId="34" builtinId="50" customBuiltin="1"/>
    <cellStyle name="40% - Énfasis1" xfId="20" builtinId="31" customBuiltin="1"/>
    <cellStyle name="40% - Énfasis2" xfId="23" builtinId="35" customBuiltin="1"/>
    <cellStyle name="40% - Énfasis3" xfId="26" builtinId="39" customBuiltin="1"/>
    <cellStyle name="40% - Énfasis4" xfId="29" builtinId="43" customBuiltin="1"/>
    <cellStyle name="40% - Énfasis5" xfId="32" builtinId="47" customBuiltin="1"/>
    <cellStyle name="40% - Énfasis6" xfId="35" builtinId="51" customBuiltin="1"/>
    <cellStyle name="60% - Énfasis1 2" xfId="37" xr:uid="{00000000-0005-0000-0000-00000C000000}"/>
    <cellStyle name="60% - Énfasis2 2" xfId="38" xr:uid="{00000000-0005-0000-0000-00000D000000}"/>
    <cellStyle name="60% - Énfasis3 2" xfId="39" xr:uid="{00000000-0005-0000-0000-00000E000000}"/>
    <cellStyle name="60% - Énfasis4 2" xfId="40" xr:uid="{00000000-0005-0000-0000-00000F000000}"/>
    <cellStyle name="60% - Énfasis5 2" xfId="41" xr:uid="{00000000-0005-0000-0000-000010000000}"/>
    <cellStyle name="60% - Énfasis6 2" xfId="42" xr:uid="{00000000-0005-0000-0000-000011000000}"/>
    <cellStyle name="Bueno" xfId="7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1" builtinId="33" customBuiltin="1"/>
    <cellStyle name="Énfasis3" xfId="24" builtinId="37" customBuiltin="1"/>
    <cellStyle name="Énfasis4" xfId="27" builtinId="41" customBuiltin="1"/>
    <cellStyle name="Énfasis5" xfId="30" builtinId="45" customBuiltin="1"/>
    <cellStyle name="Énfasis6" xfId="33" builtinId="49" customBuiltin="1"/>
    <cellStyle name="Entrada" xfId="9" builtinId="20" customBuiltin="1"/>
    <cellStyle name="Incorrecto" xfId="8" builtinId="27" customBuiltin="1"/>
    <cellStyle name="Millares" xfId="45" builtinId="3"/>
    <cellStyle name="Neutral 2" xfId="36" xr:uid="{00000000-0005-0000-0000-000021000000}"/>
    <cellStyle name="Normal" xfId="0" builtinId="0"/>
    <cellStyle name="Normal 2" xfId="43" xr:uid="{00000000-0005-0000-0000-000023000000}"/>
    <cellStyle name="Notas" xfId="15" builtinId="10" customBuiltin="1"/>
    <cellStyle name="Porcentaje" xfId="1" builtinId="5"/>
    <cellStyle name="Porcentaje 2" xfId="44" xr:uid="{00000000-0005-0000-0000-000026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FFCCCC"/>
      <color rgb="FFFFFF99"/>
      <color rgb="FFF010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301863188583909E-2"/>
          <c:y val="8.8927937413601152E-2"/>
          <c:w val="0.91753740317015886"/>
          <c:h val="0.60745741649047535"/>
        </c:manualLayout>
      </c:layout>
      <c:lineChart>
        <c:grouping val="standard"/>
        <c:varyColors val="0"/>
        <c:ser>
          <c:idx val="0"/>
          <c:order val="0"/>
          <c:tx>
            <c:strRef>
              <c:f>'1'!$A$9</c:f>
              <c:strCache>
                <c:ptCount val="1"/>
                <c:pt idx="0">
                  <c:v>2017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7.7830327434843145E-3"/>
                  <c:y val="4.68041775861057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F5B-4CCA-BB12-F1D4032AF3FB}"/>
                </c:ext>
              </c:extLst>
            </c:dLbl>
            <c:dLbl>
              <c:idx val="3"/>
              <c:layout>
                <c:manualLayout>
                  <c:x val="-6.4858606195703095E-3"/>
                  <c:y val="3.27629243102741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F5B-4CCA-BB12-F1D4032AF3FB}"/>
                </c:ext>
              </c:extLst>
            </c:dLbl>
            <c:dLbl>
              <c:idx val="4"/>
              <c:layout>
                <c:manualLayout>
                  <c:x val="0"/>
                  <c:y val="2.80825065516634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F5B-4CCA-BB12-F1D4032AF3FB}"/>
                </c:ext>
              </c:extLst>
            </c:dLbl>
            <c:dLbl>
              <c:idx val="5"/>
              <c:layout>
                <c:manualLayout>
                  <c:x val="-1.2971721239140525E-3"/>
                  <c:y val="1.87216710344423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F5B-4CCA-BB12-F1D4032AF3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'1'!$B$8:$M$8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'1'!$B$9:$M$9</c:f>
              <c:numCache>
                <c:formatCode>General</c:formatCode>
                <c:ptCount val="12"/>
                <c:pt idx="0">
                  <c:v>1516</c:v>
                </c:pt>
                <c:pt idx="1">
                  <c:v>1210</c:v>
                </c:pt>
                <c:pt idx="2">
                  <c:v>824</c:v>
                </c:pt>
                <c:pt idx="3">
                  <c:v>852</c:v>
                </c:pt>
                <c:pt idx="4">
                  <c:v>740</c:v>
                </c:pt>
                <c:pt idx="5">
                  <c:v>637</c:v>
                </c:pt>
                <c:pt idx="6">
                  <c:v>807</c:v>
                </c:pt>
                <c:pt idx="7">
                  <c:v>797</c:v>
                </c:pt>
                <c:pt idx="8">
                  <c:v>826</c:v>
                </c:pt>
                <c:pt idx="9">
                  <c:v>830</c:v>
                </c:pt>
                <c:pt idx="10">
                  <c:v>728</c:v>
                </c:pt>
                <c:pt idx="11">
                  <c:v>629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A91-4E22-8629-50AEF60416CB}"/>
            </c:ext>
          </c:extLst>
        </c:ser>
        <c:ser>
          <c:idx val="1"/>
          <c:order val="1"/>
          <c:tx>
            <c:strRef>
              <c:f>'1'!$A$11</c:f>
              <c:strCache>
                <c:ptCount val="1"/>
                <c:pt idx="0">
                  <c:v>2018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6.4858606195702618E-3"/>
                  <c:y val="-6.084543086193762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F5B-4CCA-BB12-F1D4032AF3FB}"/>
                </c:ext>
              </c:extLst>
            </c:dLbl>
            <c:dLbl>
              <c:idx val="3"/>
              <c:layout>
                <c:manualLayout>
                  <c:x val="-2.5943442478281523E-3"/>
                  <c:y val="-5.61650131033270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F5B-4CCA-BB12-F1D4032AF3FB}"/>
                </c:ext>
              </c:extLst>
            </c:dLbl>
            <c:dLbl>
              <c:idx val="4"/>
              <c:layout>
                <c:manualLayout>
                  <c:x val="-1.8160409734796733E-2"/>
                  <c:y val="-4.68041775861058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F5B-4CCA-BB12-F1D4032AF3FB}"/>
                </c:ext>
              </c:extLst>
            </c:dLbl>
            <c:dLbl>
              <c:idx val="5"/>
              <c:layout>
                <c:manualLayout>
                  <c:x val="-1.037737699131242E-2"/>
                  <c:y val="-4.21237598274952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F5B-4CCA-BB12-F1D4032AF3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'1'!$B$8:$M$8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'1'!$B$11:$M$11</c:f>
              <c:numCache>
                <c:formatCode>General</c:formatCode>
                <c:ptCount val="12"/>
                <c:pt idx="0">
                  <c:v>633</c:v>
                </c:pt>
                <c:pt idx="1">
                  <c:v>816</c:v>
                </c:pt>
                <c:pt idx="2">
                  <c:v>836</c:v>
                </c:pt>
                <c:pt idx="3">
                  <c:v>915</c:v>
                </c:pt>
                <c:pt idx="4">
                  <c:v>912</c:v>
                </c:pt>
                <c:pt idx="5">
                  <c:v>882</c:v>
                </c:pt>
                <c:pt idx="6">
                  <c:v>918</c:v>
                </c:pt>
                <c:pt idx="7">
                  <c:v>962</c:v>
                </c:pt>
                <c:pt idx="8">
                  <c:v>967</c:v>
                </c:pt>
                <c:pt idx="9">
                  <c:v>831</c:v>
                </c:pt>
                <c:pt idx="10">
                  <c:v>470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A91-4E22-8629-50AEF6041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13181192"/>
        <c:axId val="313181584"/>
      </c:lineChart>
      <c:catAx>
        <c:axId val="313181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313181584"/>
        <c:crosses val="autoZero"/>
        <c:auto val="1"/>
        <c:lblAlgn val="ctr"/>
        <c:lblOffset val="100"/>
        <c:noMultiLvlLbl val="0"/>
      </c:catAx>
      <c:valAx>
        <c:axId val="313181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313181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Evolucion GO Retrasadas 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'1.1'!$A$20</c:f>
              <c:strCache>
                <c:ptCount val="1"/>
                <c:pt idx="0">
                  <c:v>Hospital la Serena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'1.1'!$B$19:$L$19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'1.1'!$B$20:$L$20</c:f>
              <c:numCache>
                <c:formatCode>General</c:formatCode>
                <c:ptCount val="11"/>
                <c:pt idx="0">
                  <c:v>527</c:v>
                </c:pt>
                <c:pt idx="1">
                  <c:v>988</c:v>
                </c:pt>
                <c:pt idx="2">
                  <c:v>596</c:v>
                </c:pt>
                <c:pt idx="3">
                  <c:v>605</c:v>
                </c:pt>
                <c:pt idx="4">
                  <c:v>660</c:v>
                </c:pt>
                <c:pt idx="5">
                  <c:v>710</c:v>
                </c:pt>
                <c:pt idx="6">
                  <c:v>716</c:v>
                </c:pt>
                <c:pt idx="7">
                  <c:v>703</c:v>
                </c:pt>
                <c:pt idx="8">
                  <c:v>782</c:v>
                </c:pt>
                <c:pt idx="9">
                  <c:v>658</c:v>
                </c:pt>
                <c:pt idx="10">
                  <c:v>371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EA-4768-A0C6-ECC77EB823FD}"/>
            </c:ext>
          </c:extLst>
        </c:ser>
        <c:ser>
          <c:idx val="1"/>
          <c:order val="1"/>
          <c:tx>
            <c:strRef>
              <c:f>'1.1'!$A$21</c:f>
              <c:strCache>
                <c:ptCount val="1"/>
                <c:pt idx="0">
                  <c:v>Hospital Coquimbo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'1.1'!$B$19:$L$19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'1.1'!$B$21:$L$21</c:f>
              <c:numCache>
                <c:formatCode>General</c:formatCode>
                <c:ptCount val="11"/>
                <c:pt idx="0">
                  <c:v>0</c:v>
                </c:pt>
                <c:pt idx="1">
                  <c:v>31</c:v>
                </c:pt>
                <c:pt idx="2">
                  <c:v>35</c:v>
                </c:pt>
                <c:pt idx="3">
                  <c:v>28</c:v>
                </c:pt>
                <c:pt idx="4">
                  <c:v>47</c:v>
                </c:pt>
                <c:pt idx="5">
                  <c:v>33</c:v>
                </c:pt>
                <c:pt idx="6">
                  <c:v>22</c:v>
                </c:pt>
                <c:pt idx="7">
                  <c:v>16</c:v>
                </c:pt>
                <c:pt idx="8">
                  <c:v>37</c:v>
                </c:pt>
                <c:pt idx="9">
                  <c:v>19</c:v>
                </c:pt>
                <c:pt idx="10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EA-4768-A0C6-ECC77EB823FD}"/>
            </c:ext>
          </c:extLst>
        </c:ser>
        <c:ser>
          <c:idx val="2"/>
          <c:order val="2"/>
          <c:tx>
            <c:strRef>
              <c:f>'1.1'!$A$22</c:f>
              <c:strCache>
                <c:ptCount val="1"/>
                <c:pt idx="0">
                  <c:v>Hospital Ovalle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'1.1'!$B$19:$L$19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'1.1'!$B$22:$L$22</c:f>
              <c:numCache>
                <c:formatCode>General</c:formatCode>
                <c:ptCount val="11"/>
                <c:pt idx="0">
                  <c:v>61</c:v>
                </c:pt>
                <c:pt idx="1">
                  <c:v>165</c:v>
                </c:pt>
                <c:pt idx="2">
                  <c:v>65</c:v>
                </c:pt>
                <c:pt idx="3">
                  <c:v>40</c:v>
                </c:pt>
                <c:pt idx="4">
                  <c:v>51</c:v>
                </c:pt>
                <c:pt idx="5">
                  <c:v>50</c:v>
                </c:pt>
                <c:pt idx="6">
                  <c:v>41</c:v>
                </c:pt>
                <c:pt idx="7">
                  <c:v>32</c:v>
                </c:pt>
                <c:pt idx="8">
                  <c:v>22</c:v>
                </c:pt>
                <c:pt idx="9">
                  <c:v>14</c:v>
                </c:pt>
                <c:pt idx="10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8EA-4768-A0C6-ECC77EB823FD}"/>
            </c:ext>
          </c:extLst>
        </c:ser>
        <c:ser>
          <c:idx val="3"/>
          <c:order val="3"/>
          <c:tx>
            <c:strRef>
              <c:f>'1.1'!$A$23</c:f>
              <c:strCache>
                <c:ptCount val="1"/>
                <c:pt idx="0">
                  <c:v>Hospital Illapel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'1.1'!$B$19:$L$19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'1.1'!$B$23:$L$23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3">
                  <c:v>1</c:v>
                </c:pt>
                <c:pt idx="4">
                  <c:v>4</c:v>
                </c:pt>
                <c:pt idx="5">
                  <c:v>1</c:v>
                </c:pt>
                <c:pt idx="6">
                  <c:v>3</c:v>
                </c:pt>
                <c:pt idx="7">
                  <c:v>0</c:v>
                </c:pt>
                <c:pt idx="8">
                  <c:v>9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8EA-4768-A0C6-ECC77EB823FD}"/>
            </c:ext>
          </c:extLst>
        </c:ser>
        <c:ser>
          <c:idx val="4"/>
          <c:order val="4"/>
          <c:tx>
            <c:strRef>
              <c:f>'1.1'!$A$24</c:f>
              <c:strCache>
                <c:ptCount val="1"/>
                <c:pt idx="0">
                  <c:v>Hospitales baja complejidad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'1.1'!$B$19:$L$19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'1.1'!$B$24:$L$24</c:f>
              <c:numCache>
                <c:formatCode>General</c:formatCode>
                <c:ptCount val="11"/>
                <c:pt idx="0">
                  <c:v>11</c:v>
                </c:pt>
                <c:pt idx="1">
                  <c:v>35</c:v>
                </c:pt>
                <c:pt idx="2">
                  <c:v>20</c:v>
                </c:pt>
                <c:pt idx="3">
                  <c:v>12</c:v>
                </c:pt>
                <c:pt idx="4">
                  <c:v>20</c:v>
                </c:pt>
                <c:pt idx="5">
                  <c:v>16</c:v>
                </c:pt>
                <c:pt idx="6">
                  <c:v>39</c:v>
                </c:pt>
                <c:pt idx="7">
                  <c:v>55</c:v>
                </c:pt>
                <c:pt idx="8">
                  <c:v>30</c:v>
                </c:pt>
                <c:pt idx="9">
                  <c:v>20</c:v>
                </c:pt>
                <c:pt idx="10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8EA-4768-A0C6-ECC77EB823FD}"/>
            </c:ext>
          </c:extLst>
        </c:ser>
        <c:ser>
          <c:idx val="5"/>
          <c:order val="5"/>
          <c:tx>
            <c:strRef>
              <c:f>'1.1'!$A$25</c:f>
              <c:strCache>
                <c:ptCount val="1"/>
                <c:pt idx="0">
                  <c:v>APS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'1.1'!$B$19:$L$19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'1.1'!$B$25:$L$25</c:f>
              <c:numCache>
                <c:formatCode>General</c:formatCode>
                <c:ptCount val="11"/>
                <c:pt idx="0">
                  <c:v>34</c:v>
                </c:pt>
                <c:pt idx="1">
                  <c:v>133</c:v>
                </c:pt>
                <c:pt idx="2">
                  <c:v>88</c:v>
                </c:pt>
                <c:pt idx="3">
                  <c:v>99</c:v>
                </c:pt>
                <c:pt idx="4">
                  <c:v>78</c:v>
                </c:pt>
                <c:pt idx="5">
                  <c:v>72</c:v>
                </c:pt>
                <c:pt idx="6">
                  <c:v>97</c:v>
                </c:pt>
                <c:pt idx="7">
                  <c:v>156</c:v>
                </c:pt>
                <c:pt idx="8">
                  <c:v>87</c:v>
                </c:pt>
                <c:pt idx="9">
                  <c:v>120</c:v>
                </c:pt>
                <c:pt idx="10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8EA-4768-A0C6-ECC77EB823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7279656"/>
        <c:axId val="487279984"/>
      </c:lineChart>
      <c:catAx>
        <c:axId val="487279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87279984"/>
        <c:crosses val="autoZero"/>
        <c:auto val="1"/>
        <c:lblAlgn val="ctr"/>
        <c:lblOffset val="100"/>
        <c:noMultiLvlLbl val="0"/>
      </c:catAx>
      <c:valAx>
        <c:axId val="487279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87279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19830968547652955"/>
          <c:w val="0.29293094767672517"/>
          <c:h val="0.730149246062707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Evolucion GO Retrasadas 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'1.1'!$A$8</c:f>
              <c:strCache>
                <c:ptCount val="1"/>
                <c:pt idx="0">
                  <c:v>Hospital la Serena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'1.1'!$B$8:$M$8</c:f>
              <c:numCache>
                <c:formatCode>General</c:formatCode>
                <c:ptCount val="12"/>
                <c:pt idx="0">
                  <c:v>1280</c:v>
                </c:pt>
                <c:pt idx="1">
                  <c:v>911</c:v>
                </c:pt>
                <c:pt idx="2">
                  <c:v>601</c:v>
                </c:pt>
                <c:pt idx="3">
                  <c:v>534</c:v>
                </c:pt>
                <c:pt idx="4">
                  <c:v>373</c:v>
                </c:pt>
                <c:pt idx="5">
                  <c:v>382</c:v>
                </c:pt>
                <c:pt idx="6">
                  <c:v>526</c:v>
                </c:pt>
                <c:pt idx="7">
                  <c:v>559</c:v>
                </c:pt>
                <c:pt idx="8">
                  <c:v>597</c:v>
                </c:pt>
                <c:pt idx="9">
                  <c:v>668</c:v>
                </c:pt>
                <c:pt idx="10">
                  <c:v>584</c:v>
                </c:pt>
                <c:pt idx="11">
                  <c:v>490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C1-4AF5-BEEF-842F4849973F}"/>
            </c:ext>
          </c:extLst>
        </c:ser>
        <c:ser>
          <c:idx val="1"/>
          <c:order val="1"/>
          <c:tx>
            <c:strRef>
              <c:f>'1.1'!$A$9</c:f>
              <c:strCache>
                <c:ptCount val="1"/>
                <c:pt idx="0">
                  <c:v>Hospital Coquimbo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'1.1'!$B$9:$M$9</c:f>
              <c:numCache>
                <c:formatCode>General</c:formatCode>
                <c:ptCount val="12"/>
                <c:pt idx="0">
                  <c:v>94</c:v>
                </c:pt>
                <c:pt idx="1">
                  <c:v>72</c:v>
                </c:pt>
                <c:pt idx="2">
                  <c:v>63</c:v>
                </c:pt>
                <c:pt idx="3">
                  <c:v>71</c:v>
                </c:pt>
                <c:pt idx="4">
                  <c:v>147</c:v>
                </c:pt>
                <c:pt idx="5">
                  <c:v>113</c:v>
                </c:pt>
                <c:pt idx="6">
                  <c:v>96</c:v>
                </c:pt>
                <c:pt idx="7">
                  <c:v>47</c:v>
                </c:pt>
                <c:pt idx="8">
                  <c:v>77</c:v>
                </c:pt>
                <c:pt idx="9">
                  <c:v>34</c:v>
                </c:pt>
                <c:pt idx="10">
                  <c:v>23</c:v>
                </c:pt>
                <c:pt idx="1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9C1-4AF5-BEEF-842F4849973F}"/>
            </c:ext>
          </c:extLst>
        </c:ser>
        <c:ser>
          <c:idx val="2"/>
          <c:order val="2"/>
          <c:tx>
            <c:strRef>
              <c:f>'1.1'!$A$10</c:f>
              <c:strCache>
                <c:ptCount val="1"/>
                <c:pt idx="0">
                  <c:v>Hospital Ovalle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'1.1'!$B$10:$M$10</c:f>
              <c:numCache>
                <c:formatCode>General</c:formatCode>
                <c:ptCount val="12"/>
                <c:pt idx="0">
                  <c:v>60</c:v>
                </c:pt>
                <c:pt idx="1">
                  <c:v>110</c:v>
                </c:pt>
                <c:pt idx="2">
                  <c:v>81</c:v>
                </c:pt>
                <c:pt idx="3">
                  <c:v>62</c:v>
                </c:pt>
                <c:pt idx="4">
                  <c:v>57</c:v>
                </c:pt>
                <c:pt idx="5">
                  <c:v>33</c:v>
                </c:pt>
                <c:pt idx="6">
                  <c:v>77</c:v>
                </c:pt>
                <c:pt idx="7">
                  <c:v>38</c:v>
                </c:pt>
                <c:pt idx="8">
                  <c:v>48</c:v>
                </c:pt>
                <c:pt idx="9">
                  <c:v>50</c:v>
                </c:pt>
                <c:pt idx="10">
                  <c:v>51</c:v>
                </c:pt>
                <c:pt idx="11">
                  <c:v>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9C1-4AF5-BEEF-842F4849973F}"/>
            </c:ext>
          </c:extLst>
        </c:ser>
        <c:ser>
          <c:idx val="3"/>
          <c:order val="3"/>
          <c:tx>
            <c:strRef>
              <c:f>'1.1'!$A$11</c:f>
              <c:strCache>
                <c:ptCount val="1"/>
                <c:pt idx="0">
                  <c:v>Hospital Illapel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'1.1'!$B$11:$M$11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8</c:v>
                </c:pt>
                <c:pt idx="4">
                  <c:v>16</c:v>
                </c:pt>
                <c:pt idx="5">
                  <c:v>19</c:v>
                </c:pt>
                <c:pt idx="6">
                  <c:v>21</c:v>
                </c:pt>
                <c:pt idx="7">
                  <c:v>1</c:v>
                </c:pt>
                <c:pt idx="8">
                  <c:v>4</c:v>
                </c:pt>
                <c:pt idx="9">
                  <c:v>3</c:v>
                </c:pt>
                <c:pt idx="10">
                  <c:v>5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9C1-4AF5-BEEF-842F4849973F}"/>
            </c:ext>
          </c:extLst>
        </c:ser>
        <c:ser>
          <c:idx val="4"/>
          <c:order val="4"/>
          <c:tx>
            <c:strRef>
              <c:f>'1.1'!$A$12</c:f>
              <c:strCache>
                <c:ptCount val="1"/>
                <c:pt idx="0">
                  <c:v>Hospitales baja complejidad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'1.1'!$B$12:$M$12</c:f>
              <c:numCache>
                <c:formatCode>General</c:formatCode>
                <c:ptCount val="12"/>
                <c:pt idx="0">
                  <c:v>19</c:v>
                </c:pt>
                <c:pt idx="1">
                  <c:v>25</c:v>
                </c:pt>
                <c:pt idx="2">
                  <c:v>18</c:v>
                </c:pt>
                <c:pt idx="3">
                  <c:v>30</c:v>
                </c:pt>
                <c:pt idx="4">
                  <c:v>9</c:v>
                </c:pt>
                <c:pt idx="5">
                  <c:v>10</c:v>
                </c:pt>
                <c:pt idx="6">
                  <c:v>24</c:v>
                </c:pt>
                <c:pt idx="7">
                  <c:v>33</c:v>
                </c:pt>
                <c:pt idx="8">
                  <c:v>38</c:v>
                </c:pt>
                <c:pt idx="9">
                  <c:v>23</c:v>
                </c:pt>
                <c:pt idx="10">
                  <c:v>26</c:v>
                </c:pt>
                <c:pt idx="11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9C1-4AF5-BEEF-842F4849973F}"/>
            </c:ext>
          </c:extLst>
        </c:ser>
        <c:ser>
          <c:idx val="5"/>
          <c:order val="5"/>
          <c:tx>
            <c:strRef>
              <c:f>'1.1'!$A$13</c:f>
              <c:strCache>
                <c:ptCount val="1"/>
                <c:pt idx="0">
                  <c:v>APS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'1.1'!$B$7:$M$7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'1.1'!$B$13:$M$13</c:f>
              <c:numCache>
                <c:formatCode>General</c:formatCode>
                <c:ptCount val="12"/>
                <c:pt idx="0">
                  <c:v>62</c:v>
                </c:pt>
                <c:pt idx="1">
                  <c:v>90</c:v>
                </c:pt>
                <c:pt idx="2">
                  <c:v>58</c:v>
                </c:pt>
                <c:pt idx="3">
                  <c:v>147</c:v>
                </c:pt>
                <c:pt idx="4">
                  <c:v>66</c:v>
                </c:pt>
                <c:pt idx="5">
                  <c:v>80</c:v>
                </c:pt>
                <c:pt idx="6">
                  <c:v>63</c:v>
                </c:pt>
                <c:pt idx="7">
                  <c:v>99</c:v>
                </c:pt>
                <c:pt idx="8">
                  <c:v>76</c:v>
                </c:pt>
                <c:pt idx="9">
                  <c:v>52</c:v>
                </c:pt>
                <c:pt idx="10">
                  <c:v>56</c:v>
                </c:pt>
                <c:pt idx="11">
                  <c:v>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9C1-4AF5-BEEF-842F484997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419864"/>
        <c:axId val="486420192"/>
      </c:lineChart>
      <c:catAx>
        <c:axId val="486419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86420192"/>
        <c:crosses val="autoZero"/>
        <c:auto val="1"/>
        <c:lblAlgn val="ctr"/>
        <c:lblOffset val="100"/>
        <c:noMultiLvlLbl val="0"/>
      </c:catAx>
      <c:valAx>
        <c:axId val="486420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486419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Hospitales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>
        <c:manualLayout>
          <c:layoutTarget val="inner"/>
          <c:xMode val="edge"/>
          <c:yMode val="edge"/>
          <c:x val="0.10958427757505922"/>
          <c:y val="8.8862812646370998E-2"/>
          <c:w val="0.85770027527046921"/>
          <c:h val="0.735952182638969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'3.1 COMGES'!$A$43</c:f>
              <c:strCache>
                <c:ptCount val="1"/>
                <c:pt idx="0">
                  <c:v>COMGES 2018
(&lt;= 2016)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'3.1 COMGES'!$B$42:$J$42</c:f>
              <c:strCache>
                <c:ptCount val="9"/>
                <c:pt idx="0">
                  <c:v>LA SERENA</c:v>
                </c:pt>
                <c:pt idx="1">
                  <c:v>COQUIMBO</c:v>
                </c:pt>
                <c:pt idx="2">
                  <c:v>OVALLE</c:v>
                </c:pt>
                <c:pt idx="3">
                  <c:v>ILLAPEL</c:v>
                </c:pt>
                <c:pt idx="4">
                  <c:v>ANDACOLLO</c:v>
                </c:pt>
                <c:pt idx="5">
                  <c:v>COMBARBALA</c:v>
                </c:pt>
                <c:pt idx="6">
                  <c:v>LOS VILOS</c:v>
                </c:pt>
                <c:pt idx="7">
                  <c:v>SALAMANCA</c:v>
                </c:pt>
                <c:pt idx="8">
                  <c:v>VICUÑA</c:v>
                </c:pt>
              </c:strCache>
            </c:strRef>
          </c:cat>
          <c:val>
            <c:numRef>
              <c:f>'3.1 COMGES'!$B$43:$J$43</c:f>
              <c:numCache>
                <c:formatCode>General</c:formatCode>
                <c:ptCount val="9"/>
                <c:pt idx="0">
                  <c:v>6850</c:v>
                </c:pt>
                <c:pt idx="1">
                  <c:v>3648</c:v>
                </c:pt>
                <c:pt idx="2">
                  <c:v>4997</c:v>
                </c:pt>
                <c:pt idx="3">
                  <c:v>679</c:v>
                </c:pt>
                <c:pt idx="4">
                  <c:v>12</c:v>
                </c:pt>
                <c:pt idx="5">
                  <c:v>10</c:v>
                </c:pt>
                <c:pt idx="6">
                  <c:v>148</c:v>
                </c:pt>
                <c:pt idx="7">
                  <c:v>20</c:v>
                </c:pt>
                <c:pt idx="8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2B-48D5-89C1-685953F4E562}"/>
            </c:ext>
          </c:extLst>
        </c:ser>
        <c:ser>
          <c:idx val="1"/>
          <c:order val="1"/>
          <c:tx>
            <c:strRef>
              <c:f>'3.1 COMGES'!$A$44</c:f>
              <c:strCache>
                <c:ptCount val="1"/>
                <c:pt idx="0">
                  <c:v>Lista de Espera SIGTE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'3.1 COMGES'!$B$42:$J$42</c:f>
              <c:strCache>
                <c:ptCount val="9"/>
                <c:pt idx="0">
                  <c:v>LA SERENA</c:v>
                </c:pt>
                <c:pt idx="1">
                  <c:v>COQUIMBO</c:v>
                </c:pt>
                <c:pt idx="2">
                  <c:v>OVALLE</c:v>
                </c:pt>
                <c:pt idx="3">
                  <c:v>ILLAPEL</c:v>
                </c:pt>
                <c:pt idx="4">
                  <c:v>ANDACOLLO</c:v>
                </c:pt>
                <c:pt idx="5">
                  <c:v>COMBARBALA</c:v>
                </c:pt>
                <c:pt idx="6">
                  <c:v>LOS VILOS</c:v>
                </c:pt>
                <c:pt idx="7">
                  <c:v>SALAMANCA</c:v>
                </c:pt>
                <c:pt idx="8">
                  <c:v>VICUÑA</c:v>
                </c:pt>
              </c:strCache>
            </c:strRef>
          </c:cat>
          <c:val>
            <c:numRef>
              <c:f>'3.1 COMGES'!$B$44:$J$44</c:f>
              <c:numCache>
                <c:formatCode>General</c:formatCode>
                <c:ptCount val="9"/>
                <c:pt idx="0">
                  <c:v>1094</c:v>
                </c:pt>
                <c:pt idx="1">
                  <c:v>88</c:v>
                </c:pt>
                <c:pt idx="2">
                  <c:v>306</c:v>
                </c:pt>
                <c:pt idx="3">
                  <c:v>54</c:v>
                </c:pt>
                <c:pt idx="4">
                  <c:v>3</c:v>
                </c:pt>
                <c:pt idx="5">
                  <c:v>0</c:v>
                </c:pt>
                <c:pt idx="6">
                  <c:v>58</c:v>
                </c:pt>
                <c:pt idx="7">
                  <c:v>7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2B-48D5-89C1-685953F4E5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554709824"/>
        <c:axId val="554710808"/>
      </c:barChart>
      <c:catAx>
        <c:axId val="554709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554710808"/>
        <c:crosses val="autoZero"/>
        <c:auto val="1"/>
        <c:lblAlgn val="ctr"/>
        <c:lblOffset val="100"/>
        <c:noMultiLvlLbl val="0"/>
      </c:catAx>
      <c:valAx>
        <c:axId val="554710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554709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0975903266674151"/>
          <c:y val="0.8957130465731179"/>
          <c:w val="0.58374059047099769"/>
          <c:h val="9.12533933438121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Municipios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'3.1 COMGES'!$K$43</c:f>
              <c:strCache>
                <c:ptCount val="1"/>
                <c:pt idx="0">
                  <c:v>COMGES 2018
(&lt;= 2016)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'3.1 COMGES'!$L$42:$V$42</c:f>
              <c:strCache>
                <c:ptCount val="11"/>
                <c:pt idx="0">
                  <c:v>CANELA</c:v>
                </c:pt>
                <c:pt idx="1">
                  <c:v>COQUIMBO</c:v>
                </c:pt>
                <c:pt idx="2">
                  <c:v>ILLAPEL</c:v>
                </c:pt>
                <c:pt idx="3">
                  <c:v>LA HIGUERA</c:v>
                </c:pt>
                <c:pt idx="4">
                  <c:v>LA SERENA</c:v>
                </c:pt>
                <c:pt idx="5">
                  <c:v>MONTE PATRIA</c:v>
                </c:pt>
                <c:pt idx="6">
                  <c:v>OVALLE</c:v>
                </c:pt>
                <c:pt idx="7">
                  <c:v>PAIHUANO</c:v>
                </c:pt>
                <c:pt idx="8">
                  <c:v>PUNITAQUI</c:v>
                </c:pt>
                <c:pt idx="9">
                  <c:v>SALAMANCA</c:v>
                </c:pt>
                <c:pt idx="10">
                  <c:v>RIO HURTADO</c:v>
                </c:pt>
              </c:strCache>
            </c:strRef>
          </c:cat>
          <c:val>
            <c:numRef>
              <c:f>'3.1 COMGES'!$L$43:$V$43</c:f>
              <c:numCache>
                <c:formatCode>General</c:formatCode>
                <c:ptCount val="11"/>
                <c:pt idx="0">
                  <c:v>28</c:v>
                </c:pt>
                <c:pt idx="1">
                  <c:v>341</c:v>
                </c:pt>
                <c:pt idx="2">
                  <c:v>2</c:v>
                </c:pt>
                <c:pt idx="3">
                  <c:v>7</c:v>
                </c:pt>
                <c:pt idx="4">
                  <c:v>215</c:v>
                </c:pt>
                <c:pt idx="5">
                  <c:v>17</c:v>
                </c:pt>
                <c:pt idx="6">
                  <c:v>61</c:v>
                </c:pt>
                <c:pt idx="7">
                  <c:v>6</c:v>
                </c:pt>
                <c:pt idx="8">
                  <c:v>8</c:v>
                </c:pt>
                <c:pt idx="9">
                  <c:v>4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3F-4468-A8FE-383C123B3A25}"/>
            </c:ext>
          </c:extLst>
        </c:ser>
        <c:ser>
          <c:idx val="1"/>
          <c:order val="1"/>
          <c:tx>
            <c:strRef>
              <c:f>'3.1 COMGES'!$K$44</c:f>
              <c:strCache>
                <c:ptCount val="1"/>
                <c:pt idx="0">
                  <c:v>Lista de Espera SIGTE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'3.1 COMGES'!$L$42:$V$42</c:f>
              <c:strCache>
                <c:ptCount val="11"/>
                <c:pt idx="0">
                  <c:v>CANELA</c:v>
                </c:pt>
                <c:pt idx="1">
                  <c:v>COQUIMBO</c:v>
                </c:pt>
                <c:pt idx="2">
                  <c:v>ILLAPEL</c:v>
                </c:pt>
                <c:pt idx="3">
                  <c:v>LA HIGUERA</c:v>
                </c:pt>
                <c:pt idx="4">
                  <c:v>LA SERENA</c:v>
                </c:pt>
                <c:pt idx="5">
                  <c:v>MONTE PATRIA</c:v>
                </c:pt>
                <c:pt idx="6">
                  <c:v>OVALLE</c:v>
                </c:pt>
                <c:pt idx="7">
                  <c:v>PAIHUANO</c:v>
                </c:pt>
                <c:pt idx="8">
                  <c:v>PUNITAQUI</c:v>
                </c:pt>
                <c:pt idx="9">
                  <c:v>SALAMANCA</c:v>
                </c:pt>
                <c:pt idx="10">
                  <c:v>RIO HURTADO</c:v>
                </c:pt>
              </c:strCache>
            </c:strRef>
          </c:cat>
          <c:val>
            <c:numRef>
              <c:f>'3.1 COMGES'!$L$44:$V$44</c:f>
              <c:numCache>
                <c:formatCode>General</c:formatCode>
                <c:ptCount val="11"/>
                <c:pt idx="0">
                  <c:v>8</c:v>
                </c:pt>
                <c:pt idx="1">
                  <c:v>13</c:v>
                </c:pt>
                <c:pt idx="2">
                  <c:v>2</c:v>
                </c:pt>
                <c:pt idx="3">
                  <c:v>1</c:v>
                </c:pt>
                <c:pt idx="4">
                  <c:v>47</c:v>
                </c:pt>
                <c:pt idx="5">
                  <c:v>5</c:v>
                </c:pt>
                <c:pt idx="6">
                  <c:v>24</c:v>
                </c:pt>
                <c:pt idx="7">
                  <c:v>1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C3F-4468-A8FE-383C123B3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1331896"/>
        <c:axId val="501334192"/>
      </c:barChart>
      <c:catAx>
        <c:axId val="501331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501334192"/>
        <c:crosses val="autoZero"/>
        <c:auto val="1"/>
        <c:lblAlgn val="ctr"/>
        <c:lblOffset val="100"/>
        <c:noMultiLvlLbl val="0"/>
      </c:catAx>
      <c:valAx>
        <c:axId val="501334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501331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HOSPITALES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'3.3 COMGES'!$B$43</c:f>
              <c:strCache>
                <c:ptCount val="1"/>
                <c:pt idx="0">
                  <c:v>COMGES 2018
(&lt;= 2014)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'3.3 COMGES'!$C$42:$J$42</c:f>
              <c:strCache>
                <c:ptCount val="8"/>
                <c:pt idx="0">
                  <c:v>COQUIMBO</c:v>
                </c:pt>
                <c:pt idx="1">
                  <c:v>OVALLE</c:v>
                </c:pt>
                <c:pt idx="2">
                  <c:v>ILLAPEL</c:v>
                </c:pt>
                <c:pt idx="3">
                  <c:v>SALAMANCA</c:v>
                </c:pt>
                <c:pt idx="4">
                  <c:v>COMBARBALÁ</c:v>
                </c:pt>
                <c:pt idx="5">
                  <c:v>ANDACOLLO</c:v>
                </c:pt>
                <c:pt idx="6">
                  <c:v>VICUÑA</c:v>
                </c:pt>
                <c:pt idx="7">
                  <c:v>LOS VILOS</c:v>
                </c:pt>
              </c:strCache>
            </c:strRef>
          </c:cat>
          <c:val>
            <c:numRef>
              <c:f>'3.3 COMGES'!$C$43:$J$43</c:f>
              <c:numCache>
                <c:formatCode>General</c:formatCode>
                <c:ptCount val="8"/>
                <c:pt idx="0">
                  <c:v>881</c:v>
                </c:pt>
                <c:pt idx="1">
                  <c:v>168</c:v>
                </c:pt>
                <c:pt idx="2">
                  <c:v>116</c:v>
                </c:pt>
                <c:pt idx="3">
                  <c:v>127</c:v>
                </c:pt>
                <c:pt idx="4">
                  <c:v>3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E3-49B8-A505-97AF7E54CC3C}"/>
            </c:ext>
          </c:extLst>
        </c:ser>
        <c:ser>
          <c:idx val="1"/>
          <c:order val="1"/>
          <c:tx>
            <c:strRef>
              <c:f>'3.3 COMGES'!$B$44</c:f>
              <c:strCache>
                <c:ptCount val="1"/>
                <c:pt idx="0">
                  <c:v>Corte 12-12-2018 LE SIGTE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'3.3 COMGES'!$C$42:$J$42</c:f>
              <c:strCache>
                <c:ptCount val="8"/>
                <c:pt idx="0">
                  <c:v>COQUIMBO</c:v>
                </c:pt>
                <c:pt idx="1">
                  <c:v>OVALLE</c:v>
                </c:pt>
                <c:pt idx="2">
                  <c:v>ILLAPEL</c:v>
                </c:pt>
                <c:pt idx="3">
                  <c:v>SALAMANCA</c:v>
                </c:pt>
                <c:pt idx="4">
                  <c:v>COMBARBALÁ</c:v>
                </c:pt>
                <c:pt idx="5">
                  <c:v>ANDACOLLO</c:v>
                </c:pt>
                <c:pt idx="6">
                  <c:v>VICUÑA</c:v>
                </c:pt>
                <c:pt idx="7">
                  <c:v>LOS VILOS</c:v>
                </c:pt>
              </c:strCache>
            </c:strRef>
          </c:cat>
          <c:val>
            <c:numRef>
              <c:f>'3.3 COMGES'!$C$44:$J$44</c:f>
              <c:numCache>
                <c:formatCode>General</c:formatCode>
                <c:ptCount val="8"/>
                <c:pt idx="0">
                  <c:v>14</c:v>
                </c:pt>
                <c:pt idx="1">
                  <c:v>8</c:v>
                </c:pt>
                <c:pt idx="2">
                  <c:v>14</c:v>
                </c:pt>
                <c:pt idx="3">
                  <c:v>12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E3-49B8-A505-97AF7E54CC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8729032"/>
        <c:axId val="588731656"/>
      </c:barChart>
      <c:catAx>
        <c:axId val="588729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588731656"/>
        <c:crosses val="autoZero"/>
        <c:auto val="1"/>
        <c:lblAlgn val="ctr"/>
        <c:lblOffset val="100"/>
        <c:noMultiLvlLbl val="0"/>
      </c:catAx>
      <c:valAx>
        <c:axId val="588731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588729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Municipios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'3.3 COMGES'!$K$43</c:f>
              <c:strCache>
                <c:ptCount val="1"/>
                <c:pt idx="0">
                  <c:v>COMGES 2018
(&lt;= 2014)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'3.3 COMGES'!$L$42:$T$42</c:f>
              <c:strCache>
                <c:ptCount val="9"/>
                <c:pt idx="0">
                  <c:v>COQUIMBO</c:v>
                </c:pt>
                <c:pt idx="1">
                  <c:v>LA SERENA</c:v>
                </c:pt>
                <c:pt idx="2">
                  <c:v>LA HIGUERA</c:v>
                </c:pt>
                <c:pt idx="3">
                  <c:v>OVALLE</c:v>
                </c:pt>
                <c:pt idx="4">
                  <c:v>MONTE PATRIA</c:v>
                </c:pt>
                <c:pt idx="5">
                  <c:v>PUNITAQUI</c:v>
                </c:pt>
                <c:pt idx="6">
                  <c:v>SALAMANCA</c:v>
                </c:pt>
                <c:pt idx="7">
                  <c:v>CANELA</c:v>
                </c:pt>
                <c:pt idx="8">
                  <c:v>ILLAPEL</c:v>
                </c:pt>
              </c:strCache>
            </c:strRef>
          </c:cat>
          <c:val>
            <c:numRef>
              <c:f>'3.3 COMGES'!$L$43:$T$43</c:f>
              <c:numCache>
                <c:formatCode>General</c:formatCode>
                <c:ptCount val="9"/>
                <c:pt idx="0">
                  <c:v>34</c:v>
                </c:pt>
                <c:pt idx="2">
                  <c:v>0</c:v>
                </c:pt>
                <c:pt idx="3">
                  <c:v>7</c:v>
                </c:pt>
                <c:pt idx="4">
                  <c:v>4</c:v>
                </c:pt>
                <c:pt idx="5">
                  <c:v>11</c:v>
                </c:pt>
                <c:pt idx="7">
                  <c:v>7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51-47DF-B8F0-6A1EBEC21BFD}"/>
            </c:ext>
          </c:extLst>
        </c:ser>
        <c:ser>
          <c:idx val="1"/>
          <c:order val="1"/>
          <c:tx>
            <c:strRef>
              <c:f>'3.3 COMGES'!$K$44</c:f>
              <c:strCache>
                <c:ptCount val="1"/>
                <c:pt idx="0">
                  <c:v>Corte 12-12-2018 LE SIGTE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'3.3 COMGES'!$L$42:$T$42</c:f>
              <c:strCache>
                <c:ptCount val="9"/>
                <c:pt idx="0">
                  <c:v>COQUIMBO</c:v>
                </c:pt>
                <c:pt idx="1">
                  <c:v>LA SERENA</c:v>
                </c:pt>
                <c:pt idx="2">
                  <c:v>LA HIGUERA</c:v>
                </c:pt>
                <c:pt idx="3">
                  <c:v>OVALLE</c:v>
                </c:pt>
                <c:pt idx="4">
                  <c:v>MONTE PATRIA</c:v>
                </c:pt>
                <c:pt idx="5">
                  <c:v>PUNITAQUI</c:v>
                </c:pt>
                <c:pt idx="6">
                  <c:v>SALAMANCA</c:v>
                </c:pt>
                <c:pt idx="7">
                  <c:v>CANELA</c:v>
                </c:pt>
                <c:pt idx="8">
                  <c:v>ILLAPEL</c:v>
                </c:pt>
              </c:strCache>
            </c:strRef>
          </c:cat>
          <c:val>
            <c:numRef>
              <c:f>'3.3 COMGES'!$L$44:$T$44</c:f>
              <c:numCache>
                <c:formatCode>General</c:formatCode>
                <c:ptCount val="9"/>
                <c:pt idx="0">
                  <c:v>19</c:v>
                </c:pt>
                <c:pt idx="1">
                  <c:v>0</c:v>
                </c:pt>
                <c:pt idx="2">
                  <c:v>0</c:v>
                </c:pt>
                <c:pt idx="3">
                  <c:v>7</c:v>
                </c:pt>
                <c:pt idx="4">
                  <c:v>2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51-47DF-B8F0-6A1EBEC21B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7862936"/>
        <c:axId val="617745664"/>
      </c:barChart>
      <c:catAx>
        <c:axId val="307862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617745664"/>
        <c:crosses val="autoZero"/>
        <c:auto val="1"/>
        <c:lblAlgn val="ctr"/>
        <c:lblOffset val="100"/>
        <c:noMultiLvlLbl val="0"/>
      </c:catAx>
      <c:valAx>
        <c:axId val="617745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307862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31818</xdr:colOff>
      <xdr:row>11</xdr:row>
      <xdr:rowOff>180458</xdr:rowOff>
    </xdr:from>
    <xdr:to>
      <xdr:col>12</xdr:col>
      <xdr:colOff>678346</xdr:colOff>
      <xdr:row>26</xdr:row>
      <xdr:rowOff>36391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6E7433D-5DA9-4C89-B377-6BFF8E6739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40821</xdr:colOff>
      <xdr:row>15</xdr:row>
      <xdr:rowOff>146277</xdr:rowOff>
    </xdr:from>
    <xdr:to>
      <xdr:col>24</xdr:col>
      <xdr:colOff>340178</xdr:colOff>
      <xdr:row>33</xdr:row>
      <xdr:rowOff>39120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AA5E715-BAC9-4520-BFB9-13E4A18F1F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17861</xdr:colOff>
      <xdr:row>0</xdr:row>
      <xdr:rowOff>0</xdr:rowOff>
    </xdr:from>
    <xdr:to>
      <xdr:col>25</xdr:col>
      <xdr:colOff>535781</xdr:colOff>
      <xdr:row>14</xdr:row>
      <xdr:rowOff>11906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F3B714E-44A5-4E6D-8768-BB4CE755E9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15874</xdr:colOff>
      <xdr:row>39</xdr:row>
      <xdr:rowOff>1587</xdr:rowOff>
    </xdr:from>
    <xdr:to>
      <xdr:col>10</xdr:col>
      <xdr:colOff>15874</xdr:colOff>
      <xdr:row>80</xdr:row>
      <xdr:rowOff>-1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26A16F0-E004-4BC9-A2B9-B22F261124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611186</xdr:colOff>
      <xdr:row>38</xdr:row>
      <xdr:rowOff>160336</xdr:rowOff>
    </xdr:from>
    <xdr:to>
      <xdr:col>24</xdr:col>
      <xdr:colOff>142874</xdr:colOff>
      <xdr:row>79</xdr:row>
      <xdr:rowOff>142873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9405259-806E-4578-A314-FF441C3D6B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428624</xdr:colOff>
      <xdr:row>47</xdr:row>
      <xdr:rowOff>57149</xdr:rowOff>
    </xdr:from>
    <xdr:to>
      <xdr:col>10</xdr:col>
      <xdr:colOff>-1</xdr:colOff>
      <xdr:row>78</xdr:row>
      <xdr:rowOff>71436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422CB04-6520-4E95-BF38-F1C1350736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-1</xdr:colOff>
      <xdr:row>47</xdr:row>
      <xdr:rowOff>9525</xdr:rowOff>
    </xdr:from>
    <xdr:to>
      <xdr:col>20</xdr:col>
      <xdr:colOff>1095373</xdr:colOff>
      <xdr:row>78</xdr:row>
      <xdr:rowOff>119062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DB0BFEC-3248-46B8-9267-9F98CD82B5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="60" zoomScaleNormal="60" workbookViewId="0">
      <selection activeCell="E12" sqref="E12"/>
    </sheetView>
  </sheetViews>
  <sheetFormatPr baseColWidth="10" defaultRowHeight="15" x14ac:dyDescent="0.25"/>
  <cols>
    <col min="1" max="1" width="20.140625" style="27" customWidth="1"/>
    <col min="2" max="2" width="54.5703125" style="501" customWidth="1"/>
    <col min="3" max="3" width="175.5703125" customWidth="1"/>
  </cols>
  <sheetData>
    <row r="1" spans="1:7" ht="15.75" thickBot="1" x14ac:dyDescent="0.3"/>
    <row r="2" spans="1:7" s="229" customFormat="1" ht="16.5" thickTop="1" x14ac:dyDescent="0.25">
      <c r="A2" s="879" t="s">
        <v>341</v>
      </c>
      <c r="B2" s="880" t="s">
        <v>342</v>
      </c>
      <c r="C2" s="881"/>
    </row>
    <row r="3" spans="1:7" s="229" customFormat="1" ht="15.75" thickBot="1" x14ac:dyDescent="0.3">
      <c r="A3" s="882" t="s">
        <v>435</v>
      </c>
      <c r="B3" s="883"/>
      <c r="C3" s="884"/>
    </row>
    <row r="4" spans="1:7" s="229" customFormat="1" ht="15.75" thickTop="1" x14ac:dyDescent="0.25">
      <c r="B4" s="501"/>
    </row>
    <row r="5" spans="1:7" s="229" customFormat="1" ht="15.75" thickBot="1" x14ac:dyDescent="0.3">
      <c r="A5" s="702" t="s">
        <v>397</v>
      </c>
      <c r="B5" s="702"/>
      <c r="C5" s="500" t="s">
        <v>396</v>
      </c>
    </row>
    <row r="6" spans="1:7" ht="30.75" thickTop="1" x14ac:dyDescent="0.25">
      <c r="A6" s="618">
        <v>1</v>
      </c>
      <c r="B6" s="619" t="s">
        <v>76</v>
      </c>
      <c r="C6" s="620" t="s">
        <v>437</v>
      </c>
    </row>
    <row r="7" spans="1:7" ht="31.5" customHeight="1" x14ac:dyDescent="0.25">
      <c r="A7" s="621" t="s">
        <v>169</v>
      </c>
      <c r="B7" s="528" t="s">
        <v>340</v>
      </c>
      <c r="C7" s="699" t="s">
        <v>438</v>
      </c>
      <c r="G7" s="502"/>
    </row>
    <row r="8" spans="1:7" ht="19.5" customHeight="1" thickBot="1" x14ac:dyDescent="0.3">
      <c r="A8" s="622" t="s">
        <v>170</v>
      </c>
      <c r="B8" s="623" t="s">
        <v>77</v>
      </c>
      <c r="C8" s="624" t="s">
        <v>439</v>
      </c>
      <c r="G8" s="502"/>
    </row>
    <row r="9" spans="1:7" ht="15.75" thickTop="1" x14ac:dyDescent="0.25">
      <c r="G9" s="502"/>
    </row>
    <row r="10" spans="1:7" ht="15.75" thickBot="1" x14ac:dyDescent="0.3">
      <c r="A10" s="700" t="s">
        <v>28</v>
      </c>
      <c r="B10" s="701"/>
      <c r="G10" s="502"/>
    </row>
    <row r="11" spans="1:7" ht="41.25" customHeight="1" thickTop="1" x14ac:dyDescent="0.25">
      <c r="A11" s="625" t="s">
        <v>78</v>
      </c>
      <c r="B11" s="626" t="s">
        <v>338</v>
      </c>
      <c r="C11" s="788" t="s">
        <v>440</v>
      </c>
    </row>
    <row r="12" spans="1:7" ht="95.25" customHeight="1" thickBot="1" x14ac:dyDescent="0.3">
      <c r="A12" s="870" t="s">
        <v>425</v>
      </c>
      <c r="B12" s="871" t="s">
        <v>409</v>
      </c>
      <c r="C12" s="631" t="s">
        <v>443</v>
      </c>
    </row>
    <row r="13" spans="1:7" ht="45.75" thickTop="1" x14ac:dyDescent="0.25">
      <c r="A13" s="868" t="s">
        <v>79</v>
      </c>
      <c r="B13" s="869" t="s">
        <v>339</v>
      </c>
      <c r="C13" s="628" t="s">
        <v>448</v>
      </c>
    </row>
    <row r="14" spans="1:7" ht="63.75" customHeight="1" thickBot="1" x14ac:dyDescent="0.3">
      <c r="A14" s="872" t="s">
        <v>424</v>
      </c>
      <c r="B14" s="873" t="s">
        <v>410</v>
      </c>
      <c r="C14" s="874" t="s">
        <v>436</v>
      </c>
    </row>
    <row r="15" spans="1:7" ht="15.75" thickTop="1" x14ac:dyDescent="0.25">
      <c r="A15" s="875" t="s">
        <v>80</v>
      </c>
      <c r="B15" s="876" t="s">
        <v>338</v>
      </c>
      <c r="C15" s="627" t="s">
        <v>446</v>
      </c>
    </row>
    <row r="16" spans="1:7" ht="93" customHeight="1" thickBot="1" x14ac:dyDescent="0.3">
      <c r="A16" s="629" t="s">
        <v>426</v>
      </c>
      <c r="B16" s="630" t="s">
        <v>410</v>
      </c>
      <c r="C16" s="631" t="s">
        <v>447</v>
      </c>
    </row>
    <row r="17" ht="15.75" thickTop="1" x14ac:dyDescent="0.25"/>
  </sheetData>
  <mergeCells count="4">
    <mergeCell ref="B2:C2"/>
    <mergeCell ref="A10:B10"/>
    <mergeCell ref="A5:B5"/>
    <mergeCell ref="A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N31"/>
  <sheetViews>
    <sheetView zoomScale="80" zoomScaleNormal="80" workbookViewId="0">
      <selection activeCell="N11" sqref="N11"/>
    </sheetView>
  </sheetViews>
  <sheetFormatPr baseColWidth="10" defaultRowHeight="15" x14ac:dyDescent="0.25"/>
  <sheetData>
    <row r="1" spans="1:14" x14ac:dyDescent="0.25">
      <c r="A1" s="2" t="s">
        <v>15</v>
      </c>
    </row>
    <row r="2" spans="1:14" x14ac:dyDescent="0.25">
      <c r="A2" s="2" t="s">
        <v>16</v>
      </c>
    </row>
    <row r="3" spans="1:14" x14ac:dyDescent="0.25">
      <c r="A3" s="2" t="s">
        <v>17</v>
      </c>
    </row>
    <row r="4" spans="1:14" x14ac:dyDescent="0.25">
      <c r="A4" s="2" t="s">
        <v>18</v>
      </c>
    </row>
    <row r="6" spans="1:14" ht="21" x14ac:dyDescent="0.35">
      <c r="B6" s="703" t="s">
        <v>81</v>
      </c>
      <c r="C6" s="703"/>
      <c r="D6" s="703"/>
      <c r="E6" s="703"/>
      <c r="F6" s="703"/>
      <c r="G6" s="703"/>
      <c r="H6" s="703"/>
      <c r="I6" s="703"/>
      <c r="J6" s="703"/>
      <c r="K6" s="703"/>
      <c r="L6" s="703"/>
    </row>
    <row r="7" spans="1:14" x14ac:dyDescent="0.25">
      <c r="A7" s="12"/>
    </row>
    <row r="8" spans="1:14" x14ac:dyDescent="0.25">
      <c r="A8" s="13" t="s">
        <v>37</v>
      </c>
      <c r="B8" s="14" t="s">
        <v>50</v>
      </c>
      <c r="C8" s="14" t="s">
        <v>51</v>
      </c>
      <c r="D8" s="14" t="s">
        <v>52</v>
      </c>
      <c r="E8" s="14" t="s">
        <v>53</v>
      </c>
      <c r="F8" s="14" t="s">
        <v>54</v>
      </c>
      <c r="G8" s="14" t="s">
        <v>55</v>
      </c>
      <c r="H8" s="14" t="s">
        <v>56</v>
      </c>
      <c r="I8" s="14" t="s">
        <v>57</v>
      </c>
      <c r="J8" s="14" t="s">
        <v>58</v>
      </c>
      <c r="K8" s="14" t="s">
        <v>59</v>
      </c>
      <c r="L8" s="14" t="s">
        <v>60</v>
      </c>
      <c r="M8" s="14" t="s">
        <v>61</v>
      </c>
    </row>
    <row r="9" spans="1:14" ht="21" customHeight="1" x14ac:dyDescent="0.25">
      <c r="A9" s="13">
        <v>2017</v>
      </c>
      <c r="B9" s="15">
        <v>1516</v>
      </c>
      <c r="C9" s="15">
        <v>1210</v>
      </c>
      <c r="D9" s="15">
        <v>824</v>
      </c>
      <c r="E9" s="15">
        <v>852</v>
      </c>
      <c r="F9" s="15">
        <v>740</v>
      </c>
      <c r="G9" s="15">
        <v>637</v>
      </c>
      <c r="H9" s="15">
        <v>807</v>
      </c>
      <c r="I9" s="15">
        <v>797</v>
      </c>
      <c r="J9" s="15">
        <v>826</v>
      </c>
      <c r="K9" s="15">
        <v>830</v>
      </c>
      <c r="L9" s="15">
        <v>728</v>
      </c>
      <c r="M9" s="15">
        <v>629</v>
      </c>
    </row>
    <row r="10" spans="1:14" s="40" customFormat="1" hidden="1" x14ac:dyDescent="0.25">
      <c r="A10" s="13"/>
      <c r="B10" s="39"/>
      <c r="C10" s="39"/>
      <c r="D10" s="39"/>
      <c r="E10" s="39"/>
      <c r="F10" s="39"/>
      <c r="G10" s="39"/>
      <c r="H10" s="16" t="s">
        <v>174</v>
      </c>
      <c r="I10" s="92"/>
      <c r="J10" s="92"/>
      <c r="K10" s="92"/>
      <c r="L10" s="92"/>
      <c r="M10" s="92"/>
    </row>
    <row r="11" spans="1:14" ht="18.75" customHeight="1" x14ac:dyDescent="0.25">
      <c r="A11" s="13">
        <v>2018</v>
      </c>
      <c r="B11" s="15">
        <v>633</v>
      </c>
      <c r="C11" s="15">
        <v>816</v>
      </c>
      <c r="D11" s="15">
        <v>836</v>
      </c>
      <c r="E11" s="15">
        <v>915</v>
      </c>
      <c r="F11" s="15">
        <v>912</v>
      </c>
      <c r="G11" s="39">
        <v>882</v>
      </c>
      <c r="H11" s="39">
        <v>918</v>
      </c>
      <c r="I11" s="39">
        <v>962</v>
      </c>
      <c r="J11" s="39">
        <v>967</v>
      </c>
      <c r="K11" s="39">
        <v>831</v>
      </c>
      <c r="L11" s="649">
        <v>470</v>
      </c>
      <c r="N11" s="40"/>
    </row>
    <row r="12" spans="1:14" x14ac:dyDescent="0.25">
      <c r="A12" s="16"/>
      <c r="B12" s="16"/>
      <c r="C12" s="16"/>
      <c r="N12" s="40"/>
    </row>
    <row r="13" spans="1:14" x14ac:dyDescent="0.25">
      <c r="A13" s="16"/>
      <c r="B13" s="16"/>
      <c r="C13" s="16"/>
    </row>
    <row r="14" spans="1:14" x14ac:dyDescent="0.25">
      <c r="A14" s="16"/>
      <c r="B14" s="16"/>
      <c r="C14" s="16"/>
      <c r="D14" s="16"/>
      <c r="E14" s="16"/>
      <c r="F14" s="16"/>
      <c r="G14" s="16"/>
      <c r="H14" s="16"/>
    </row>
    <row r="15" spans="1:14" x14ac:dyDescent="0.25">
      <c r="A15" s="16"/>
      <c r="B15" s="16"/>
      <c r="C15" s="16"/>
      <c r="D15" s="16"/>
      <c r="E15" s="16"/>
      <c r="F15" s="16"/>
      <c r="G15" s="16"/>
      <c r="H15" s="16"/>
    </row>
    <row r="16" spans="1:14" x14ac:dyDescent="0.25">
      <c r="A16" s="16"/>
      <c r="B16" s="16"/>
      <c r="C16" s="16"/>
      <c r="D16" s="16"/>
      <c r="E16" s="16"/>
      <c r="F16" s="16"/>
      <c r="G16" s="16"/>
      <c r="H16" s="16"/>
    </row>
    <row r="17" spans="1:8" x14ac:dyDescent="0.25">
      <c r="A17" s="16"/>
      <c r="B17" s="16"/>
      <c r="C17" s="16"/>
      <c r="D17" s="16"/>
      <c r="E17" s="16"/>
      <c r="F17" s="16"/>
      <c r="G17" s="16"/>
      <c r="H17" s="16"/>
    </row>
    <row r="18" spans="1:8" x14ac:dyDescent="0.25">
      <c r="A18" s="16"/>
      <c r="B18" s="16"/>
      <c r="C18" s="16"/>
      <c r="D18" s="16"/>
      <c r="E18" s="16"/>
      <c r="F18" s="16"/>
      <c r="G18" s="16"/>
      <c r="H18" s="16"/>
    </row>
    <row r="19" spans="1:8" x14ac:dyDescent="0.25">
      <c r="A19" s="16"/>
      <c r="B19" s="16"/>
      <c r="C19" s="16"/>
      <c r="D19" s="16"/>
      <c r="E19" s="16"/>
      <c r="F19" s="16"/>
      <c r="G19" s="16"/>
      <c r="H19" s="16"/>
    </row>
    <row r="20" spans="1:8" x14ac:dyDescent="0.25">
      <c r="A20" s="16"/>
      <c r="B20" s="16"/>
      <c r="C20" s="16"/>
      <c r="D20" s="16"/>
      <c r="E20" s="16"/>
      <c r="F20" s="16"/>
      <c r="G20" s="16"/>
      <c r="H20" s="16"/>
    </row>
    <row r="21" spans="1:8" x14ac:dyDescent="0.25">
      <c r="A21" s="16"/>
      <c r="B21" s="16"/>
      <c r="C21" s="16"/>
      <c r="D21" s="16"/>
      <c r="E21" s="16"/>
      <c r="F21" s="16"/>
      <c r="G21" s="16"/>
      <c r="H21" s="16"/>
    </row>
    <row r="22" spans="1:8" x14ac:dyDescent="0.25">
      <c r="A22" s="16"/>
      <c r="B22" s="16"/>
      <c r="C22" s="16"/>
      <c r="D22" s="16"/>
      <c r="E22" s="16"/>
      <c r="F22" s="16"/>
      <c r="G22" s="16"/>
      <c r="H22" s="16"/>
    </row>
    <row r="23" spans="1:8" x14ac:dyDescent="0.25">
      <c r="A23" s="16"/>
      <c r="B23" s="16"/>
      <c r="C23" s="16"/>
      <c r="D23" s="16"/>
      <c r="E23" s="16"/>
      <c r="F23" s="16"/>
      <c r="G23" s="16"/>
      <c r="H23" s="16"/>
    </row>
    <row r="24" spans="1:8" x14ac:dyDescent="0.25">
      <c r="A24" s="16"/>
      <c r="B24" s="16"/>
      <c r="C24" s="16"/>
      <c r="D24" s="16"/>
      <c r="E24" s="16"/>
      <c r="F24" s="16"/>
      <c r="G24" s="16"/>
      <c r="H24" s="16"/>
    </row>
    <row r="25" spans="1:8" x14ac:dyDescent="0.25">
      <c r="A25" s="16"/>
      <c r="B25" s="16"/>
      <c r="C25" s="16"/>
      <c r="D25" s="16"/>
      <c r="E25" s="16"/>
      <c r="F25" s="16"/>
      <c r="G25" s="16"/>
      <c r="H25" s="16"/>
    </row>
    <row r="26" spans="1:8" x14ac:dyDescent="0.25">
      <c r="A26" s="16"/>
      <c r="B26" s="16"/>
      <c r="C26" s="16"/>
      <c r="D26" s="16"/>
      <c r="E26" s="16"/>
      <c r="F26" s="16"/>
      <c r="G26" s="16"/>
      <c r="H26" s="16"/>
    </row>
    <row r="27" spans="1:8" x14ac:dyDescent="0.25">
      <c r="A27" s="16"/>
      <c r="B27" s="16"/>
      <c r="C27" s="16"/>
      <c r="D27" s="16"/>
      <c r="E27" s="16"/>
      <c r="F27" s="16"/>
      <c r="G27" s="16"/>
      <c r="H27" s="16"/>
    </row>
    <row r="28" spans="1:8" x14ac:dyDescent="0.25">
      <c r="A28" s="16"/>
      <c r="B28" s="16"/>
      <c r="C28" s="16"/>
      <c r="D28" s="16"/>
      <c r="E28" s="16"/>
      <c r="F28" s="16"/>
      <c r="G28" s="16"/>
      <c r="H28" s="16"/>
    </row>
    <row r="29" spans="1:8" x14ac:dyDescent="0.25">
      <c r="A29" s="16"/>
      <c r="B29" s="16"/>
      <c r="C29" s="16"/>
      <c r="D29" s="16"/>
      <c r="E29" s="16"/>
      <c r="F29" s="16"/>
      <c r="G29" s="16"/>
      <c r="H29" s="16"/>
    </row>
    <row r="30" spans="1:8" x14ac:dyDescent="0.25">
      <c r="E30" s="16"/>
      <c r="F30" s="16"/>
      <c r="G30" s="16"/>
      <c r="H30" s="16"/>
    </row>
    <row r="31" spans="1:8" x14ac:dyDescent="0.25">
      <c r="E31" s="16"/>
      <c r="F31" s="16"/>
      <c r="G31" s="16"/>
      <c r="H31" s="16"/>
    </row>
  </sheetData>
  <mergeCells count="1">
    <mergeCell ref="B6:L6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O60"/>
  <sheetViews>
    <sheetView zoomScale="70" zoomScaleNormal="70" workbookViewId="0">
      <selection activeCell="J27" sqref="J27:M34"/>
    </sheetView>
  </sheetViews>
  <sheetFormatPr baseColWidth="10" defaultRowHeight="11.25" x14ac:dyDescent="0.2"/>
  <cols>
    <col min="1" max="1" width="46.5703125" style="20" customWidth="1"/>
    <col min="2" max="13" width="9.7109375" style="16" customWidth="1"/>
    <col min="14" max="16384" width="11.42578125" style="16"/>
  </cols>
  <sheetData>
    <row r="1" spans="1:13" ht="15" x14ac:dyDescent="0.25">
      <c r="A1" s="2" t="s">
        <v>15</v>
      </c>
    </row>
    <row r="2" spans="1:13" ht="15" x14ac:dyDescent="0.25">
      <c r="A2" s="2" t="s">
        <v>16</v>
      </c>
    </row>
    <row r="3" spans="1:13" ht="15" x14ac:dyDescent="0.25">
      <c r="A3" s="2" t="s">
        <v>17</v>
      </c>
    </row>
    <row r="4" spans="1:13" ht="15" x14ac:dyDescent="0.25">
      <c r="A4" s="2" t="s">
        <v>18</v>
      </c>
    </row>
    <row r="6" spans="1:13" ht="22.5" x14ac:dyDescent="0.2">
      <c r="B6" s="17" t="s">
        <v>38</v>
      </c>
      <c r="C6" s="17" t="s">
        <v>39</v>
      </c>
      <c r="D6" s="17" t="s">
        <v>40</v>
      </c>
      <c r="E6" s="17" t="s">
        <v>41</v>
      </c>
      <c r="F6" s="17" t="s">
        <v>42</v>
      </c>
      <c r="G6" s="17" t="s">
        <v>43</v>
      </c>
      <c r="H6" s="17" t="s">
        <v>44</v>
      </c>
      <c r="I6" s="17" t="s">
        <v>45</v>
      </c>
      <c r="J6" s="17" t="s">
        <v>46</v>
      </c>
      <c r="K6" s="17" t="s">
        <v>47</v>
      </c>
      <c r="L6" s="17" t="s">
        <v>48</v>
      </c>
      <c r="M6" s="17" t="s">
        <v>49</v>
      </c>
    </row>
    <row r="7" spans="1:13" x14ac:dyDescent="0.2">
      <c r="A7" s="21" t="s">
        <v>37</v>
      </c>
      <c r="B7" s="17" t="s">
        <v>50</v>
      </c>
      <c r="C7" s="17" t="s">
        <v>51</v>
      </c>
      <c r="D7" s="17" t="s">
        <v>52</v>
      </c>
      <c r="E7" s="17" t="s">
        <v>53</v>
      </c>
      <c r="F7" s="17" t="s">
        <v>54</v>
      </c>
      <c r="G7" s="17" t="s">
        <v>55</v>
      </c>
      <c r="H7" s="17" t="s">
        <v>56</v>
      </c>
      <c r="I7" s="17" t="s">
        <v>57</v>
      </c>
      <c r="J7" s="17" t="s">
        <v>58</v>
      </c>
      <c r="K7" s="17" t="s">
        <v>59</v>
      </c>
      <c r="L7" s="17" t="s">
        <v>60</v>
      </c>
      <c r="M7" s="17" t="s">
        <v>61</v>
      </c>
    </row>
    <row r="8" spans="1:13" x14ac:dyDescent="0.2">
      <c r="A8" s="22" t="s">
        <v>62</v>
      </c>
      <c r="B8" s="18">
        <v>1280</v>
      </c>
      <c r="C8" s="18">
        <v>911</v>
      </c>
      <c r="D8" s="18">
        <v>601</v>
      </c>
      <c r="E8" s="18">
        <v>534</v>
      </c>
      <c r="F8" s="18">
        <v>373</v>
      </c>
      <c r="G8" s="18">
        <v>382</v>
      </c>
      <c r="H8" s="18">
        <v>526</v>
      </c>
      <c r="I8" s="18">
        <v>559</v>
      </c>
      <c r="J8" s="18">
        <v>597</v>
      </c>
      <c r="K8" s="18">
        <v>668</v>
      </c>
      <c r="L8" s="18">
        <v>584</v>
      </c>
      <c r="M8" s="18">
        <v>490</v>
      </c>
    </row>
    <row r="9" spans="1:13" x14ac:dyDescent="0.2">
      <c r="A9" s="22" t="s">
        <v>63</v>
      </c>
      <c r="B9" s="18">
        <v>94</v>
      </c>
      <c r="C9" s="18">
        <v>72</v>
      </c>
      <c r="D9" s="18">
        <v>63</v>
      </c>
      <c r="E9" s="18">
        <v>71</v>
      </c>
      <c r="F9" s="18">
        <v>147</v>
      </c>
      <c r="G9" s="18">
        <v>113</v>
      </c>
      <c r="H9" s="18">
        <v>96</v>
      </c>
      <c r="I9" s="18">
        <v>47</v>
      </c>
      <c r="J9" s="18">
        <v>77</v>
      </c>
      <c r="K9" s="18">
        <v>34</v>
      </c>
      <c r="L9" s="18">
        <v>23</v>
      </c>
      <c r="M9" s="18">
        <v>5</v>
      </c>
    </row>
    <row r="10" spans="1:13" x14ac:dyDescent="0.2">
      <c r="A10" s="22" t="s">
        <v>64</v>
      </c>
      <c r="B10" s="18">
        <v>60</v>
      </c>
      <c r="C10" s="18">
        <v>110</v>
      </c>
      <c r="D10" s="18">
        <v>81</v>
      </c>
      <c r="E10" s="18">
        <v>62</v>
      </c>
      <c r="F10" s="18">
        <v>57</v>
      </c>
      <c r="G10" s="18">
        <v>33</v>
      </c>
      <c r="H10" s="18">
        <v>77</v>
      </c>
      <c r="I10" s="18">
        <v>38</v>
      </c>
      <c r="J10" s="18">
        <v>48</v>
      </c>
      <c r="K10" s="18">
        <v>50</v>
      </c>
      <c r="L10" s="18">
        <v>51</v>
      </c>
      <c r="M10" s="18">
        <v>81</v>
      </c>
    </row>
    <row r="11" spans="1:13" x14ac:dyDescent="0.2">
      <c r="A11" s="22" t="s">
        <v>65</v>
      </c>
      <c r="B11" s="18">
        <v>1</v>
      </c>
      <c r="C11" s="18">
        <v>2</v>
      </c>
      <c r="D11" s="18">
        <v>3</v>
      </c>
      <c r="E11" s="18">
        <v>8</v>
      </c>
      <c r="F11" s="18">
        <v>16</v>
      </c>
      <c r="G11" s="18">
        <v>19</v>
      </c>
      <c r="H11" s="18">
        <v>21</v>
      </c>
      <c r="I11" s="18">
        <v>1</v>
      </c>
      <c r="J11" s="18">
        <v>4</v>
      </c>
      <c r="K11" s="18">
        <v>3</v>
      </c>
      <c r="L11" s="18">
        <v>5</v>
      </c>
      <c r="M11" s="18">
        <v>0</v>
      </c>
    </row>
    <row r="12" spans="1:13" x14ac:dyDescent="0.2">
      <c r="A12" s="22" t="s">
        <v>67</v>
      </c>
      <c r="B12" s="18">
        <f>15+4</f>
        <v>19</v>
      </c>
      <c r="C12" s="18">
        <f>12+7+4+2</f>
        <v>25</v>
      </c>
      <c r="D12" s="18">
        <f>13+2+2+1</f>
        <v>18</v>
      </c>
      <c r="E12" s="18">
        <f>17+6+4+3</f>
        <v>30</v>
      </c>
      <c r="F12" s="18">
        <f>6+1+1+1</f>
        <v>9</v>
      </c>
      <c r="G12" s="18">
        <f>6+3+1</f>
        <v>10</v>
      </c>
      <c r="H12" s="18">
        <f>8+6+5+3+2</f>
        <v>24</v>
      </c>
      <c r="I12" s="18">
        <f>16+15+2</f>
        <v>33</v>
      </c>
      <c r="J12" s="18">
        <f>11+10+6+6+5</f>
        <v>38</v>
      </c>
      <c r="K12" s="18">
        <f>11+5+3+3+1</f>
        <v>23</v>
      </c>
      <c r="L12" s="18">
        <f>13+11+1+1</f>
        <v>26</v>
      </c>
      <c r="M12" s="18">
        <f>8+2+1</f>
        <v>11</v>
      </c>
    </row>
    <row r="13" spans="1:13" x14ac:dyDescent="0.2">
      <c r="A13" s="22" t="s">
        <v>66</v>
      </c>
      <c r="B13" s="18">
        <f t="shared" ref="B13:C13" si="0">B14-(B8+B9+B10+B11+B12)</f>
        <v>62</v>
      </c>
      <c r="C13" s="18">
        <f t="shared" si="0"/>
        <v>90</v>
      </c>
      <c r="D13" s="18">
        <f t="shared" ref="D13:M13" si="1">D14-(D8+D9+D10+D11+D12)</f>
        <v>58</v>
      </c>
      <c r="E13" s="18">
        <f t="shared" si="1"/>
        <v>147</v>
      </c>
      <c r="F13" s="18">
        <f t="shared" si="1"/>
        <v>66</v>
      </c>
      <c r="G13" s="18">
        <f t="shared" si="1"/>
        <v>80</v>
      </c>
      <c r="H13" s="18">
        <f t="shared" si="1"/>
        <v>63</v>
      </c>
      <c r="I13" s="18">
        <f t="shared" si="1"/>
        <v>99</v>
      </c>
      <c r="J13" s="18">
        <f t="shared" si="1"/>
        <v>76</v>
      </c>
      <c r="K13" s="18">
        <f t="shared" si="1"/>
        <v>52</v>
      </c>
      <c r="L13" s="18">
        <f t="shared" si="1"/>
        <v>56</v>
      </c>
      <c r="M13" s="18">
        <f t="shared" si="1"/>
        <v>42</v>
      </c>
    </row>
    <row r="14" spans="1:13" x14ac:dyDescent="0.2">
      <c r="A14" s="24" t="s">
        <v>68</v>
      </c>
      <c r="B14" s="19">
        <v>1516</v>
      </c>
      <c r="C14" s="19">
        <v>1210</v>
      </c>
      <c r="D14" s="19">
        <v>824</v>
      </c>
      <c r="E14" s="19">
        <v>852</v>
      </c>
      <c r="F14" s="19">
        <v>668</v>
      </c>
      <c r="G14" s="19">
        <v>637</v>
      </c>
      <c r="H14" s="19">
        <v>807</v>
      </c>
      <c r="I14" s="19">
        <v>777</v>
      </c>
      <c r="J14" s="19">
        <v>840</v>
      </c>
      <c r="K14" s="19">
        <v>830</v>
      </c>
      <c r="L14" s="19">
        <v>745</v>
      </c>
      <c r="M14" s="19">
        <v>629</v>
      </c>
    </row>
    <row r="15" spans="1:13" x14ac:dyDescent="0.2">
      <c r="A15" s="23"/>
    </row>
    <row r="16" spans="1:13" x14ac:dyDescent="0.2">
      <c r="A16" s="23"/>
    </row>
    <row r="18" spans="1:15" ht="22.5" x14ac:dyDescent="0.2">
      <c r="B18" s="14" t="s">
        <v>69</v>
      </c>
      <c r="C18" s="14" t="s">
        <v>70</v>
      </c>
      <c r="D18" s="14" t="s">
        <v>71</v>
      </c>
      <c r="E18" s="14" t="s">
        <v>72</v>
      </c>
      <c r="F18" s="14" t="s">
        <v>162</v>
      </c>
      <c r="G18" s="14" t="s">
        <v>163</v>
      </c>
      <c r="H18" s="14" t="s">
        <v>175</v>
      </c>
      <c r="I18" s="14" t="s">
        <v>337</v>
      </c>
      <c r="J18" s="14" t="s">
        <v>374</v>
      </c>
      <c r="K18" s="14" t="s">
        <v>398</v>
      </c>
      <c r="L18" s="14" t="s">
        <v>428</v>
      </c>
      <c r="M18" s="650"/>
      <c r="N18" s="651"/>
    </row>
    <row r="19" spans="1:15" x14ac:dyDescent="0.2">
      <c r="A19" s="21" t="s">
        <v>37</v>
      </c>
      <c r="B19" s="17" t="s">
        <v>50</v>
      </c>
      <c r="C19" s="17" t="s">
        <v>51</v>
      </c>
      <c r="D19" s="17" t="s">
        <v>52</v>
      </c>
      <c r="E19" s="17" t="s">
        <v>53</v>
      </c>
      <c r="F19" s="17" t="s">
        <v>54</v>
      </c>
      <c r="G19" s="17" t="s">
        <v>55</v>
      </c>
      <c r="H19" s="17" t="s">
        <v>56</v>
      </c>
      <c r="I19" s="17" t="s">
        <v>57</v>
      </c>
      <c r="J19" s="17" t="s">
        <v>58</v>
      </c>
      <c r="K19" s="17" t="s">
        <v>59</v>
      </c>
      <c r="L19" s="17" t="s">
        <v>60</v>
      </c>
      <c r="M19" s="17" t="s">
        <v>61</v>
      </c>
    </row>
    <row r="20" spans="1:15" x14ac:dyDescent="0.2">
      <c r="A20" s="22" t="s">
        <v>62</v>
      </c>
      <c r="B20" s="18">
        <v>527</v>
      </c>
      <c r="C20" s="18">
        <v>988</v>
      </c>
      <c r="D20" s="18">
        <v>596</v>
      </c>
      <c r="E20" s="18">
        <v>605</v>
      </c>
      <c r="F20" s="18">
        <v>660</v>
      </c>
      <c r="G20" s="18">
        <v>710</v>
      </c>
      <c r="H20" s="18">
        <v>716</v>
      </c>
      <c r="I20" s="18">
        <v>703</v>
      </c>
      <c r="J20" s="18">
        <v>782</v>
      </c>
      <c r="K20" s="18">
        <v>658</v>
      </c>
      <c r="L20" s="18">
        <v>371</v>
      </c>
      <c r="M20" s="18"/>
    </row>
    <row r="21" spans="1:15" x14ac:dyDescent="0.2">
      <c r="A21" s="22" t="s">
        <v>63</v>
      </c>
      <c r="B21" s="18">
        <v>0</v>
      </c>
      <c r="C21" s="18">
        <v>31</v>
      </c>
      <c r="D21" s="18">
        <v>35</v>
      </c>
      <c r="E21" s="18">
        <v>28</v>
      </c>
      <c r="F21" s="18">
        <v>47</v>
      </c>
      <c r="G21" s="18">
        <v>33</v>
      </c>
      <c r="H21" s="18">
        <v>22</v>
      </c>
      <c r="I21" s="18">
        <v>16</v>
      </c>
      <c r="J21" s="18">
        <v>37</v>
      </c>
      <c r="K21" s="18">
        <v>19</v>
      </c>
      <c r="L21" s="18">
        <v>22</v>
      </c>
      <c r="M21" s="18"/>
    </row>
    <row r="22" spans="1:15" x14ac:dyDescent="0.2">
      <c r="A22" s="22" t="s">
        <v>64</v>
      </c>
      <c r="B22" s="18">
        <v>61</v>
      </c>
      <c r="C22" s="18">
        <v>165</v>
      </c>
      <c r="D22" s="18">
        <v>65</v>
      </c>
      <c r="E22" s="18">
        <v>40</v>
      </c>
      <c r="F22" s="18">
        <v>51</v>
      </c>
      <c r="G22" s="18">
        <v>50</v>
      </c>
      <c r="H22" s="18">
        <v>41</v>
      </c>
      <c r="I22" s="18">
        <v>32</v>
      </c>
      <c r="J22" s="18">
        <v>22</v>
      </c>
      <c r="K22" s="18">
        <v>14</v>
      </c>
      <c r="L22" s="18">
        <v>8</v>
      </c>
      <c r="M22" s="18"/>
    </row>
    <row r="23" spans="1:15" x14ac:dyDescent="0.2">
      <c r="A23" s="22" t="s">
        <v>65</v>
      </c>
      <c r="B23" s="18">
        <v>0</v>
      </c>
      <c r="C23" s="18">
        <v>0</v>
      </c>
      <c r="D23" s="18"/>
      <c r="E23" s="18">
        <v>1</v>
      </c>
      <c r="F23" s="18">
        <v>4</v>
      </c>
      <c r="G23" s="18">
        <v>1</v>
      </c>
      <c r="H23" s="18">
        <v>3</v>
      </c>
      <c r="I23" s="18">
        <v>0</v>
      </c>
      <c r="J23" s="18">
        <v>9</v>
      </c>
      <c r="K23" s="18">
        <v>0</v>
      </c>
      <c r="L23" s="18">
        <v>0</v>
      </c>
      <c r="M23" s="18"/>
    </row>
    <row r="24" spans="1:15" x14ac:dyDescent="0.2">
      <c r="A24" s="22" t="s">
        <v>67</v>
      </c>
      <c r="B24" s="18">
        <f>6+2+1+1+1</f>
        <v>11</v>
      </c>
      <c r="C24" s="18">
        <f>16+8+7+3+1</f>
        <v>35</v>
      </c>
      <c r="D24" s="18">
        <f>8+8+4</f>
        <v>20</v>
      </c>
      <c r="E24" s="18">
        <f>8+4</f>
        <v>12</v>
      </c>
      <c r="F24" s="18">
        <f>7+7+4+1+1</f>
        <v>20</v>
      </c>
      <c r="G24" s="18">
        <v>16</v>
      </c>
      <c r="H24" s="18">
        <v>39</v>
      </c>
      <c r="I24" s="18">
        <v>55</v>
      </c>
      <c r="J24" s="18">
        <v>30</v>
      </c>
      <c r="K24" s="18">
        <v>20</v>
      </c>
      <c r="L24" s="18">
        <v>19</v>
      </c>
      <c r="M24" s="18"/>
    </row>
    <row r="25" spans="1:15" x14ac:dyDescent="0.2">
      <c r="A25" s="22" t="s">
        <v>66</v>
      </c>
      <c r="B25" s="18">
        <f>B26-(B20+B21+B22+B23+B24)</f>
        <v>34</v>
      </c>
      <c r="C25" s="18">
        <f t="shared" ref="C25:F25" si="2">C26-(C20+C21+C22+C23+C24)</f>
        <v>133</v>
      </c>
      <c r="D25" s="18">
        <f t="shared" si="2"/>
        <v>88</v>
      </c>
      <c r="E25" s="18">
        <f t="shared" si="2"/>
        <v>99</v>
      </c>
      <c r="F25" s="18">
        <f t="shared" si="2"/>
        <v>78</v>
      </c>
      <c r="G25" s="18">
        <f>882-810</f>
        <v>72</v>
      </c>
      <c r="H25" s="18">
        <v>97</v>
      </c>
      <c r="I25" s="18">
        <v>156</v>
      </c>
      <c r="J25" s="18">
        <v>87</v>
      </c>
      <c r="K25" s="18">
        <v>120</v>
      </c>
      <c r="L25" s="18">
        <v>50</v>
      </c>
      <c r="M25" s="18"/>
    </row>
    <row r="26" spans="1:15" x14ac:dyDescent="0.2">
      <c r="A26" s="25" t="s">
        <v>73</v>
      </c>
      <c r="B26" s="26">
        <v>633</v>
      </c>
      <c r="C26" s="26">
        <v>1352</v>
      </c>
      <c r="D26" s="26">
        <v>804</v>
      </c>
      <c r="E26" s="26">
        <v>785</v>
      </c>
      <c r="F26" s="26">
        <v>860</v>
      </c>
      <c r="G26" s="26">
        <v>882</v>
      </c>
      <c r="H26" s="26">
        <f>SUM(H20:H25)</f>
        <v>918</v>
      </c>
      <c r="I26" s="249">
        <f>SUM(I20:I25)</f>
        <v>962</v>
      </c>
      <c r="J26" s="249">
        <f t="shared" ref="J26:M26" si="3">SUM(J20:J25)</f>
        <v>967</v>
      </c>
      <c r="K26" s="249">
        <f t="shared" si="3"/>
        <v>831</v>
      </c>
      <c r="L26" s="249">
        <f t="shared" si="3"/>
        <v>470</v>
      </c>
      <c r="M26" s="249">
        <f t="shared" si="3"/>
        <v>0</v>
      </c>
    </row>
    <row r="27" spans="1:15" ht="15" x14ac:dyDescent="0.25">
      <c r="J27" s="229"/>
    </row>
    <row r="28" spans="1:15" ht="15" x14ac:dyDescent="0.25">
      <c r="A28" s="229"/>
      <c r="B28" s="229"/>
      <c r="C28" s="229"/>
      <c r="E28" s="229"/>
      <c r="F28" s="229"/>
      <c r="L28" s="698"/>
      <c r="N28" s="229"/>
      <c r="O28" s="229"/>
    </row>
    <row r="29" spans="1:15" ht="15" x14ac:dyDescent="0.25">
      <c r="A29" s="230"/>
      <c r="B29" s="230"/>
      <c r="C29" s="229"/>
      <c r="E29" s="229"/>
      <c r="F29" s="229"/>
      <c r="L29" s="698"/>
      <c r="N29" s="229"/>
      <c r="O29" s="229"/>
    </row>
    <row r="30" spans="1:15" ht="15" x14ac:dyDescent="0.25">
      <c r="A30" s="229"/>
      <c r="B30" s="229"/>
      <c r="C30" s="229"/>
      <c r="L30" s="698"/>
      <c r="N30" s="230"/>
      <c r="O30" s="230"/>
    </row>
    <row r="31" spans="1:15" ht="15" x14ac:dyDescent="0.25">
      <c r="A31" s="16"/>
      <c r="C31" s="229"/>
      <c r="L31" s="698"/>
      <c r="N31" s="230"/>
      <c r="O31" s="230"/>
    </row>
    <row r="32" spans="1:15" ht="15" x14ac:dyDescent="0.25">
      <c r="A32" s="16"/>
      <c r="C32" s="229"/>
      <c r="L32" s="698"/>
      <c r="N32" s="230"/>
      <c r="O32" s="230"/>
    </row>
    <row r="33" spans="1:15" ht="15" x14ac:dyDescent="0.25">
      <c r="A33" s="230"/>
      <c r="B33" s="230"/>
      <c r="C33" s="229"/>
      <c r="L33" s="698"/>
      <c r="N33" s="230"/>
      <c r="O33" s="230"/>
    </row>
    <row r="34" spans="1:15" ht="15" x14ac:dyDescent="0.25">
      <c r="A34" s="230"/>
      <c r="B34" s="230"/>
      <c r="C34" s="229"/>
      <c r="N34" s="230"/>
      <c r="O34" s="230"/>
    </row>
    <row r="35" spans="1:15" ht="15" x14ac:dyDescent="0.25">
      <c r="A35" s="230"/>
      <c r="B35" s="230"/>
      <c r="C35" s="229"/>
      <c r="N35" s="230"/>
      <c r="O35" s="230"/>
    </row>
    <row r="36" spans="1:15" ht="15" x14ac:dyDescent="0.25">
      <c r="A36" s="230"/>
      <c r="B36" s="230"/>
      <c r="C36" s="229"/>
      <c r="N36" s="230"/>
      <c r="O36" s="230"/>
    </row>
    <row r="37" spans="1:15" ht="15" x14ac:dyDescent="0.25">
      <c r="A37" s="230"/>
      <c r="B37" s="230"/>
      <c r="C37" s="229"/>
      <c r="N37" s="230"/>
      <c r="O37" s="230"/>
    </row>
    <row r="38" spans="1:15" ht="15" x14ac:dyDescent="0.25">
      <c r="A38" s="16"/>
      <c r="C38" s="229"/>
      <c r="N38" s="230"/>
      <c r="O38" s="230"/>
    </row>
    <row r="39" spans="1:15" ht="15" x14ac:dyDescent="0.25">
      <c r="A39" s="16"/>
      <c r="C39" s="229"/>
      <c r="N39" s="230"/>
      <c r="O39" s="230"/>
    </row>
    <row r="40" spans="1:15" ht="15" x14ac:dyDescent="0.25">
      <c r="A40" s="16"/>
      <c r="C40" s="229"/>
      <c r="N40" s="230"/>
      <c r="O40" s="230"/>
    </row>
    <row r="41" spans="1:15" ht="15" x14ac:dyDescent="0.25">
      <c r="A41" s="16"/>
      <c r="C41" s="229"/>
      <c r="N41" s="230"/>
      <c r="O41" s="230"/>
    </row>
    <row r="42" spans="1:15" ht="15" x14ac:dyDescent="0.25">
      <c r="A42" s="16"/>
      <c r="C42" s="229"/>
      <c r="N42" s="230"/>
      <c r="O42" s="230"/>
    </row>
    <row r="43" spans="1:15" ht="15" x14ac:dyDescent="0.25">
      <c r="A43" s="16"/>
      <c r="C43" s="229"/>
      <c r="N43" s="230"/>
      <c r="O43" s="230"/>
    </row>
    <row r="44" spans="1:15" ht="15" x14ac:dyDescent="0.25">
      <c r="A44" s="16"/>
      <c r="C44" s="229"/>
      <c r="N44" s="230"/>
      <c r="O44" s="230"/>
    </row>
    <row r="45" spans="1:15" ht="15" x14ac:dyDescent="0.25">
      <c r="A45" s="16"/>
      <c r="C45" s="229"/>
      <c r="N45" s="230"/>
      <c r="O45" s="230"/>
    </row>
    <row r="46" spans="1:15" ht="15" x14ac:dyDescent="0.25">
      <c r="A46" s="16"/>
      <c r="C46" s="229"/>
      <c r="N46" s="230"/>
      <c r="O46" s="230"/>
    </row>
    <row r="47" spans="1:15" ht="15" x14ac:dyDescent="0.25">
      <c r="A47" s="16"/>
      <c r="C47" s="229"/>
      <c r="N47" s="230"/>
      <c r="O47" s="230"/>
    </row>
    <row r="48" spans="1:15" ht="15" x14ac:dyDescent="0.25">
      <c r="A48" s="16"/>
      <c r="C48" s="229"/>
      <c r="N48" s="230"/>
      <c r="O48" s="230"/>
    </row>
    <row r="49" spans="1:15" ht="15" x14ac:dyDescent="0.25">
      <c r="A49" s="16"/>
      <c r="C49" s="229"/>
      <c r="N49" s="230"/>
      <c r="O49" s="230"/>
    </row>
    <row r="50" spans="1:15" ht="15" x14ac:dyDescent="0.25">
      <c r="A50" s="16"/>
      <c r="C50" s="229"/>
      <c r="N50" s="230"/>
      <c r="O50" s="230"/>
    </row>
    <row r="51" spans="1:15" x14ac:dyDescent="0.2">
      <c r="A51" s="16"/>
      <c r="N51" s="230"/>
      <c r="O51" s="230"/>
    </row>
    <row r="52" spans="1:15" x14ac:dyDescent="0.2">
      <c r="A52" s="16"/>
      <c r="N52" s="230"/>
      <c r="O52" s="230"/>
    </row>
    <row r="53" spans="1:15" x14ac:dyDescent="0.2">
      <c r="A53" s="16"/>
    </row>
    <row r="54" spans="1:15" x14ac:dyDescent="0.2">
      <c r="A54" s="16"/>
      <c r="C54" s="230"/>
    </row>
    <row r="55" spans="1:15" x14ac:dyDescent="0.2">
      <c r="A55" s="16"/>
      <c r="C55" s="230"/>
    </row>
    <row r="56" spans="1:15" x14ac:dyDescent="0.2">
      <c r="A56" s="16"/>
      <c r="C56" s="230"/>
    </row>
    <row r="57" spans="1:15" x14ac:dyDescent="0.2">
      <c r="A57" s="16"/>
      <c r="C57" s="230"/>
    </row>
    <row r="58" spans="1:15" x14ac:dyDescent="0.2">
      <c r="A58" s="16"/>
    </row>
    <row r="59" spans="1:15" x14ac:dyDescent="0.2">
      <c r="A59" s="16"/>
    </row>
    <row r="60" spans="1:15" x14ac:dyDescent="0.2">
      <c r="A60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T69"/>
  <sheetViews>
    <sheetView topLeftCell="AM1" zoomScale="80" zoomScaleNormal="80" workbookViewId="0">
      <selection activeCell="AT10" sqref="AT10:AT12"/>
    </sheetView>
  </sheetViews>
  <sheetFormatPr baseColWidth="10" defaultRowHeight="15" x14ac:dyDescent="0.25"/>
  <cols>
    <col min="1" max="1" width="5.7109375" customWidth="1"/>
    <col min="2" max="2" width="47.7109375" customWidth="1"/>
    <col min="3" max="3" width="7.7109375" customWidth="1"/>
    <col min="5" max="5" width="8.7109375" customWidth="1"/>
    <col min="6" max="6" width="3.140625" customWidth="1"/>
    <col min="7" max="7" width="4.28515625" customWidth="1"/>
    <col min="8" max="8" width="49.5703125" customWidth="1"/>
    <col min="12" max="12" width="2.42578125" customWidth="1"/>
    <col min="13" max="13" width="3.85546875" bestFit="1" customWidth="1"/>
    <col min="14" max="14" width="55.5703125" customWidth="1"/>
    <col min="18" max="18" width="1.5703125" customWidth="1"/>
    <col min="19" max="19" width="61.140625" customWidth="1"/>
    <col min="23" max="24" width="3.140625" customWidth="1"/>
    <col min="25" max="25" width="75.28515625" customWidth="1"/>
    <col min="26" max="26" width="11" bestFit="1" customWidth="1"/>
    <col min="27" max="27" width="8.7109375" bestFit="1" customWidth="1"/>
    <col min="28" max="28" width="7.7109375" bestFit="1" customWidth="1"/>
    <col min="29" max="29" width="6.7109375" customWidth="1"/>
    <col min="30" max="30" width="4.85546875" bestFit="1" customWidth="1"/>
    <col min="31" max="31" width="70.140625" customWidth="1"/>
    <col min="32" max="32" width="11" bestFit="1" customWidth="1"/>
    <col min="33" max="33" width="8.7109375" bestFit="1" customWidth="1"/>
    <col min="34" max="34" width="7.7109375" bestFit="1" customWidth="1"/>
    <col min="36" max="36" width="4.85546875" bestFit="1" customWidth="1"/>
    <col min="37" max="37" width="67.85546875" customWidth="1"/>
    <col min="38" max="38" width="11" bestFit="1" customWidth="1"/>
    <col min="39" max="39" width="8.7109375" bestFit="1" customWidth="1"/>
    <col min="43" max="43" width="70.7109375" customWidth="1"/>
  </cols>
  <sheetData>
    <row r="1" spans="1:46" x14ac:dyDescent="0.25">
      <c r="A1" s="12" t="s">
        <v>15</v>
      </c>
    </row>
    <row r="2" spans="1:46" x14ac:dyDescent="0.25">
      <c r="A2" s="12" t="s">
        <v>16</v>
      </c>
    </row>
    <row r="3" spans="1:46" x14ac:dyDescent="0.25">
      <c r="A3" s="12" t="s">
        <v>17</v>
      </c>
    </row>
    <row r="4" spans="1:46" ht="15.75" thickBot="1" x14ac:dyDescent="0.3">
      <c r="A4" s="12" t="s">
        <v>18</v>
      </c>
    </row>
    <row r="5" spans="1:46" ht="23.25" x14ac:dyDescent="0.35">
      <c r="A5" s="12"/>
      <c r="S5" s="704" t="s">
        <v>156</v>
      </c>
      <c r="T5" s="704"/>
      <c r="U5" s="704"/>
      <c r="V5" s="41"/>
      <c r="X5" s="229"/>
      <c r="Y5" s="712" t="s">
        <v>156</v>
      </c>
      <c r="Z5" s="713"/>
      <c r="AA5" s="714"/>
      <c r="AB5" s="231"/>
      <c r="AD5" s="229"/>
      <c r="AE5" s="712" t="s">
        <v>156</v>
      </c>
      <c r="AF5" s="713"/>
      <c r="AG5" s="714"/>
      <c r="AH5" s="231"/>
      <c r="AJ5" s="229"/>
      <c r="AK5" s="704" t="s">
        <v>156</v>
      </c>
      <c r="AL5" s="704"/>
      <c r="AM5" s="704"/>
      <c r="AN5" s="231"/>
      <c r="AP5" s="229"/>
      <c r="AQ5" s="704" t="s">
        <v>156</v>
      </c>
      <c r="AR5" s="704"/>
      <c r="AS5" s="704"/>
      <c r="AT5" s="231"/>
    </row>
    <row r="6" spans="1:46" ht="20.25" customHeight="1" thickBot="1" x14ac:dyDescent="0.4">
      <c r="B6" s="704" t="s">
        <v>156</v>
      </c>
      <c r="C6" s="704"/>
      <c r="D6" s="704"/>
      <c r="G6" s="40"/>
      <c r="H6" s="704" t="s">
        <v>156</v>
      </c>
      <c r="I6" s="704"/>
      <c r="J6" s="704"/>
      <c r="K6" s="41"/>
      <c r="L6" s="40"/>
      <c r="M6" s="40"/>
      <c r="N6" s="704" t="s">
        <v>156</v>
      </c>
      <c r="O6" s="704"/>
      <c r="P6" s="704"/>
      <c r="Q6" s="41"/>
      <c r="S6" s="705">
        <v>43298</v>
      </c>
      <c r="T6" s="705"/>
      <c r="U6" s="705"/>
      <c r="V6" s="40"/>
      <c r="X6" s="229"/>
      <c r="Y6" s="715">
        <v>43333</v>
      </c>
      <c r="Z6" s="716"/>
      <c r="AA6" s="717"/>
      <c r="AB6" s="229"/>
      <c r="AD6" s="229"/>
      <c r="AE6" s="715">
        <v>43363</v>
      </c>
      <c r="AF6" s="716"/>
      <c r="AG6" s="717"/>
      <c r="AH6" s="229"/>
      <c r="AJ6" s="229"/>
      <c r="AK6" s="705">
        <v>43403</v>
      </c>
      <c r="AL6" s="705"/>
      <c r="AM6" s="705"/>
      <c r="AN6" s="229"/>
      <c r="AP6" s="229"/>
      <c r="AQ6" s="705">
        <v>43425</v>
      </c>
      <c r="AR6" s="705"/>
      <c r="AS6" s="705"/>
      <c r="AT6" s="229"/>
    </row>
    <row r="7" spans="1:46" ht="20.25" customHeight="1" thickBot="1" x14ac:dyDescent="0.4">
      <c r="B7" s="705">
        <v>43235</v>
      </c>
      <c r="C7" s="705"/>
      <c r="D7" s="705"/>
      <c r="G7" s="40"/>
      <c r="H7" s="705">
        <v>43256</v>
      </c>
      <c r="I7" s="705"/>
      <c r="J7" s="705"/>
      <c r="K7" s="40"/>
      <c r="L7" s="40"/>
      <c r="M7" s="40"/>
      <c r="N7" s="705">
        <v>43277</v>
      </c>
      <c r="O7" s="705"/>
      <c r="P7" s="705"/>
      <c r="Q7" s="40"/>
      <c r="S7" s="91"/>
      <c r="T7" s="91"/>
      <c r="U7" s="91"/>
      <c r="V7" s="40"/>
      <c r="X7" s="229"/>
      <c r="Y7" s="232"/>
      <c r="Z7" s="232"/>
      <c r="AA7" s="232"/>
      <c r="AB7" s="229"/>
      <c r="AD7" s="229"/>
      <c r="AE7" s="257"/>
      <c r="AF7" s="257"/>
      <c r="AG7" s="257"/>
      <c r="AH7" s="229"/>
      <c r="AJ7" s="229"/>
      <c r="AK7" s="492"/>
      <c r="AL7" s="492"/>
      <c r="AM7" s="492"/>
      <c r="AN7" s="229"/>
      <c r="AP7" s="229"/>
      <c r="AQ7" s="648"/>
      <c r="AR7" s="648"/>
      <c r="AS7" s="648"/>
      <c r="AT7" s="229"/>
    </row>
    <row r="8" spans="1:46" ht="60.75" thickTop="1" x14ac:dyDescent="0.25">
      <c r="B8" s="28" t="s">
        <v>83</v>
      </c>
      <c r="C8" s="29" t="s">
        <v>84</v>
      </c>
      <c r="D8" s="30" t="s">
        <v>85</v>
      </c>
      <c r="G8" s="40"/>
      <c r="H8" s="28" t="s">
        <v>83</v>
      </c>
      <c r="I8" s="29" t="s">
        <v>84</v>
      </c>
      <c r="J8" s="30" t="s">
        <v>85</v>
      </c>
      <c r="K8" s="40"/>
      <c r="L8" s="40"/>
      <c r="M8" s="40"/>
      <c r="N8" s="80" t="s">
        <v>83</v>
      </c>
      <c r="O8" s="81" t="s">
        <v>84</v>
      </c>
      <c r="P8" s="82" t="s">
        <v>85</v>
      </c>
      <c r="Q8" s="40"/>
      <c r="S8" s="28" t="s">
        <v>83</v>
      </c>
      <c r="T8" s="29" t="s">
        <v>84</v>
      </c>
      <c r="U8" s="30" t="s">
        <v>85</v>
      </c>
      <c r="V8" s="40"/>
      <c r="X8" s="229"/>
      <c r="Y8" s="233" t="s">
        <v>83</v>
      </c>
      <c r="Z8" s="234" t="s">
        <v>84</v>
      </c>
      <c r="AA8" s="235" t="s">
        <v>85</v>
      </c>
      <c r="AB8" s="229"/>
      <c r="AD8" s="229"/>
      <c r="AE8" s="233" t="s">
        <v>83</v>
      </c>
      <c r="AF8" s="234" t="s">
        <v>84</v>
      </c>
      <c r="AG8" s="235" t="s">
        <v>85</v>
      </c>
      <c r="AH8" s="229"/>
      <c r="AJ8" s="229"/>
      <c r="AK8" s="233" t="s">
        <v>83</v>
      </c>
      <c r="AL8" s="234" t="s">
        <v>84</v>
      </c>
      <c r="AM8" s="235" t="s">
        <v>85</v>
      </c>
      <c r="AN8" s="229"/>
      <c r="AP8" s="229"/>
      <c r="AQ8" s="233" t="s">
        <v>83</v>
      </c>
      <c r="AR8" s="234" t="s">
        <v>84</v>
      </c>
      <c r="AS8" s="235" t="s">
        <v>85</v>
      </c>
      <c r="AT8" s="229"/>
    </row>
    <row r="9" spans="1:46" ht="15.75" thickBot="1" x14ac:dyDescent="0.3">
      <c r="B9" s="31" t="s">
        <v>74</v>
      </c>
      <c r="C9" s="32">
        <f>SUM(C10:C69)</f>
        <v>858</v>
      </c>
      <c r="D9" s="33">
        <f>C9/$C$9</f>
        <v>1</v>
      </c>
      <c r="G9" s="40"/>
      <c r="H9" s="31" t="s">
        <v>74</v>
      </c>
      <c r="I9" s="32">
        <v>882</v>
      </c>
      <c r="J9" s="33">
        <v>1</v>
      </c>
      <c r="K9" s="40"/>
      <c r="L9" s="40"/>
      <c r="M9" s="40"/>
      <c r="N9" s="83" t="s">
        <v>74</v>
      </c>
      <c r="O9" s="84">
        <f>SUM(O10:O67)</f>
        <v>867</v>
      </c>
      <c r="P9" s="85">
        <f>O9/O9</f>
        <v>1</v>
      </c>
      <c r="Q9" s="40"/>
      <c r="S9" s="93" t="s">
        <v>74</v>
      </c>
      <c r="T9" s="32">
        <v>918</v>
      </c>
      <c r="U9" s="33">
        <v>1</v>
      </c>
      <c r="V9" s="40"/>
      <c r="X9" s="229"/>
      <c r="Y9" s="236" t="s">
        <v>74</v>
      </c>
      <c r="Z9" s="237">
        <v>962</v>
      </c>
      <c r="AA9" s="238">
        <v>1</v>
      </c>
      <c r="AB9" s="229"/>
      <c r="AD9" s="229"/>
      <c r="AE9" s="236" t="s">
        <v>74</v>
      </c>
      <c r="AF9" s="237">
        <v>967</v>
      </c>
      <c r="AG9" s="238">
        <f>AF9/AF9</f>
        <v>1</v>
      </c>
      <c r="AH9" s="229"/>
      <c r="AJ9" s="229"/>
      <c r="AK9" s="236" t="s">
        <v>74</v>
      </c>
      <c r="AL9" s="237">
        <v>831</v>
      </c>
      <c r="AM9" s="238">
        <f>AL9/$AL$9</f>
        <v>1</v>
      </c>
      <c r="AN9" s="229"/>
      <c r="AP9" s="229"/>
      <c r="AQ9" s="236" t="s">
        <v>74</v>
      </c>
      <c r="AR9" s="237">
        <v>470</v>
      </c>
      <c r="AS9" s="238">
        <f>AR9/$AR$9</f>
        <v>1</v>
      </c>
      <c r="AT9" s="229"/>
    </row>
    <row r="10" spans="1:46" ht="15.75" x14ac:dyDescent="0.25">
      <c r="A10" t="s">
        <v>86</v>
      </c>
      <c r="B10" s="34" t="s">
        <v>87</v>
      </c>
      <c r="C10" s="35">
        <v>210</v>
      </c>
      <c r="D10" s="33">
        <f t="shared" ref="D10:D69" si="0">C10/$C$9</f>
        <v>0.24475524475524477</v>
      </c>
      <c r="E10" s="706">
        <f>SUM(D10,D11,D12)</f>
        <v>0.4358974358974359</v>
      </c>
      <c r="G10" s="40" t="s">
        <v>86</v>
      </c>
      <c r="H10" s="34" t="s">
        <v>87</v>
      </c>
      <c r="I10" s="35">
        <v>230</v>
      </c>
      <c r="J10" s="33">
        <v>0.26077097505668934</v>
      </c>
      <c r="K10" s="706">
        <f>SUM(J10:J12)</f>
        <v>0.49433106575963714</v>
      </c>
      <c r="L10" s="40"/>
      <c r="M10" s="40" t="s">
        <v>86</v>
      </c>
      <c r="N10" s="89" t="s">
        <v>87</v>
      </c>
      <c r="O10" s="90">
        <v>222</v>
      </c>
      <c r="P10" s="85">
        <f>O10/$O$9</f>
        <v>0.25605536332179929</v>
      </c>
      <c r="Q10" s="709">
        <f>SUM(P10,P11,P12)</f>
        <v>0.45674740484429061</v>
      </c>
      <c r="S10" s="94" t="s">
        <v>87</v>
      </c>
      <c r="T10" s="95">
        <v>244</v>
      </c>
      <c r="U10" s="96">
        <v>0.26579520697167758</v>
      </c>
      <c r="V10" s="706">
        <v>0.46405228758169931</v>
      </c>
      <c r="X10" s="239" t="s">
        <v>86</v>
      </c>
      <c r="Y10" s="240" t="s">
        <v>87</v>
      </c>
      <c r="Z10" s="241">
        <v>221</v>
      </c>
      <c r="AA10" s="242">
        <v>0.22972972972972974</v>
      </c>
      <c r="AB10" s="706">
        <v>0.43451143451143454</v>
      </c>
      <c r="AD10" s="239" t="s">
        <v>86</v>
      </c>
      <c r="AE10" s="240" t="s">
        <v>87</v>
      </c>
      <c r="AF10" s="241">
        <v>200</v>
      </c>
      <c r="AG10" s="238">
        <f>AF10/$AF$9</f>
        <v>0.20682523267838676</v>
      </c>
      <c r="AH10" s="709">
        <f>+AG10+AG11+AG12</f>
        <v>0.40227507755946224</v>
      </c>
      <c r="AJ10" s="239" t="s">
        <v>86</v>
      </c>
      <c r="AK10" s="240" t="s">
        <v>91</v>
      </c>
      <c r="AL10" s="241">
        <v>275</v>
      </c>
      <c r="AM10" s="238">
        <f t="shared" ref="AM10:AM65" si="1">AL10/$AL$9</f>
        <v>0.33092659446450062</v>
      </c>
      <c r="AN10" s="706">
        <f>+AM10+AM11+AM12</f>
        <v>0.542719614921781</v>
      </c>
      <c r="AP10" s="239" t="s">
        <v>86</v>
      </c>
      <c r="AQ10" s="240" t="s">
        <v>91</v>
      </c>
      <c r="AR10" s="241">
        <v>85</v>
      </c>
      <c r="AS10" s="238">
        <f t="shared" ref="AS10:AS61" si="2">AR10/$AR$9</f>
        <v>0.18085106382978725</v>
      </c>
      <c r="AT10" s="706">
        <f>SUM(AS10,AS11,AS12)</f>
        <v>0.42765957446808511</v>
      </c>
    </row>
    <row r="11" spans="1:46" ht="15.75" x14ac:dyDescent="0.25">
      <c r="A11" t="s">
        <v>88</v>
      </c>
      <c r="B11" s="34" t="s">
        <v>89</v>
      </c>
      <c r="C11" s="35">
        <v>89</v>
      </c>
      <c r="D11" s="33">
        <f t="shared" si="0"/>
        <v>0.10372960372960373</v>
      </c>
      <c r="E11" s="707"/>
      <c r="G11" s="40" t="s">
        <v>88</v>
      </c>
      <c r="H11" s="34" t="s">
        <v>91</v>
      </c>
      <c r="I11" s="35">
        <v>125</v>
      </c>
      <c r="J11" s="33">
        <v>0.14172335600907029</v>
      </c>
      <c r="K11" s="707"/>
      <c r="L11" s="40"/>
      <c r="M11" s="40" t="s">
        <v>88</v>
      </c>
      <c r="N11" s="89" t="s">
        <v>97</v>
      </c>
      <c r="O11" s="90">
        <v>90</v>
      </c>
      <c r="P11" s="85">
        <f t="shared" ref="P11:P67" si="3">O11/$O$9</f>
        <v>0.10380622837370242</v>
      </c>
      <c r="Q11" s="710"/>
      <c r="S11" s="94" t="s">
        <v>91</v>
      </c>
      <c r="T11" s="95">
        <v>115</v>
      </c>
      <c r="U11" s="96">
        <v>0.12527233115468409</v>
      </c>
      <c r="V11" s="707"/>
      <c r="X11" s="239" t="s">
        <v>88</v>
      </c>
      <c r="Y11" s="240" t="s">
        <v>99</v>
      </c>
      <c r="Z11" s="241">
        <v>103</v>
      </c>
      <c r="AA11" s="242">
        <v>0.10706860706860707</v>
      </c>
      <c r="AB11" s="707"/>
      <c r="AD11" s="239" t="s">
        <v>88</v>
      </c>
      <c r="AE11" s="240" t="s">
        <v>91</v>
      </c>
      <c r="AF11" s="241">
        <v>108</v>
      </c>
      <c r="AG11" s="238">
        <f t="shared" ref="AG11:AG68" si="4">AF11/$AF$9</f>
        <v>0.11168562564632885</v>
      </c>
      <c r="AH11" s="710"/>
      <c r="AJ11" s="239" t="s">
        <v>88</v>
      </c>
      <c r="AK11" s="240" t="s">
        <v>87</v>
      </c>
      <c r="AL11" s="241">
        <v>89</v>
      </c>
      <c r="AM11" s="238">
        <f t="shared" si="1"/>
        <v>0.10709987966305656</v>
      </c>
      <c r="AN11" s="707"/>
      <c r="AP11" s="239" t="s">
        <v>88</v>
      </c>
      <c r="AQ11" s="240" t="s">
        <v>87</v>
      </c>
      <c r="AR11" s="241">
        <v>81</v>
      </c>
      <c r="AS11" s="238">
        <f t="shared" si="2"/>
        <v>0.17234042553191489</v>
      </c>
      <c r="AT11" s="707"/>
    </row>
    <row r="12" spans="1:46" ht="16.5" thickBot="1" x14ac:dyDescent="0.3">
      <c r="A12" t="s">
        <v>90</v>
      </c>
      <c r="B12" s="34" t="s">
        <v>91</v>
      </c>
      <c r="C12" s="35">
        <v>75</v>
      </c>
      <c r="D12" s="33">
        <f t="shared" si="0"/>
        <v>8.7412587412587409E-2</v>
      </c>
      <c r="E12" s="708"/>
      <c r="G12" s="40" t="s">
        <v>90</v>
      </c>
      <c r="H12" s="34" t="s">
        <v>89</v>
      </c>
      <c r="I12" s="35">
        <v>81</v>
      </c>
      <c r="J12" s="33">
        <v>9.1836734693877556E-2</v>
      </c>
      <c r="K12" s="708"/>
      <c r="L12" s="40"/>
      <c r="M12" s="40" t="s">
        <v>90</v>
      </c>
      <c r="N12" s="89" t="s">
        <v>89</v>
      </c>
      <c r="O12" s="90">
        <v>84</v>
      </c>
      <c r="P12" s="85">
        <f t="shared" si="3"/>
        <v>9.6885813148788927E-2</v>
      </c>
      <c r="Q12" s="711"/>
      <c r="S12" s="94" t="s">
        <v>99</v>
      </c>
      <c r="T12" s="95">
        <v>67</v>
      </c>
      <c r="U12" s="96">
        <v>7.2984749455337686E-2</v>
      </c>
      <c r="V12" s="708"/>
      <c r="X12" s="239" t="s">
        <v>90</v>
      </c>
      <c r="Y12" s="240" t="s">
        <v>93</v>
      </c>
      <c r="Z12" s="241">
        <v>94</v>
      </c>
      <c r="AA12" s="242">
        <v>9.7713097713097719E-2</v>
      </c>
      <c r="AB12" s="708"/>
      <c r="AD12" s="239" t="s">
        <v>90</v>
      </c>
      <c r="AE12" s="240" t="s">
        <v>99</v>
      </c>
      <c r="AF12" s="241">
        <v>81</v>
      </c>
      <c r="AG12" s="238">
        <f t="shared" si="4"/>
        <v>8.376421923474664E-2</v>
      </c>
      <c r="AH12" s="711"/>
      <c r="AJ12" s="239" t="s">
        <v>90</v>
      </c>
      <c r="AK12" s="240" t="s">
        <v>93</v>
      </c>
      <c r="AL12" s="241">
        <v>87</v>
      </c>
      <c r="AM12" s="238">
        <f t="shared" si="1"/>
        <v>0.10469314079422383</v>
      </c>
      <c r="AN12" s="708"/>
      <c r="AP12" s="239" t="s">
        <v>90</v>
      </c>
      <c r="AQ12" s="240" t="s">
        <v>93</v>
      </c>
      <c r="AR12" s="241">
        <v>35</v>
      </c>
      <c r="AS12" s="238">
        <f t="shared" si="2"/>
        <v>7.4468085106382975E-2</v>
      </c>
      <c r="AT12" s="708"/>
    </row>
    <row r="13" spans="1:46" ht="15.75" x14ac:dyDescent="0.25">
      <c r="A13" t="s">
        <v>92</v>
      </c>
      <c r="B13" s="36" t="s">
        <v>93</v>
      </c>
      <c r="C13" s="11">
        <v>55</v>
      </c>
      <c r="D13" s="33">
        <f t="shared" si="0"/>
        <v>6.4102564102564097E-2</v>
      </c>
      <c r="G13" s="40" t="s">
        <v>92</v>
      </c>
      <c r="H13" s="36" t="s">
        <v>93</v>
      </c>
      <c r="I13" s="11">
        <v>41</v>
      </c>
      <c r="J13" s="33">
        <v>4.6485260770975055E-2</v>
      </c>
      <c r="K13" s="40"/>
      <c r="L13" s="40"/>
      <c r="M13" s="40" t="s">
        <v>92</v>
      </c>
      <c r="N13" s="79" t="s">
        <v>93</v>
      </c>
      <c r="O13" s="67">
        <v>51</v>
      </c>
      <c r="P13" s="85">
        <f t="shared" si="3"/>
        <v>5.8823529411764705E-2</v>
      </c>
      <c r="Q13" s="40"/>
      <c r="S13" s="97" t="s">
        <v>89</v>
      </c>
      <c r="T13" s="98">
        <v>59</v>
      </c>
      <c r="U13" s="33">
        <v>6.4270152505446626E-2</v>
      </c>
      <c r="V13" s="40"/>
      <c r="X13" s="239" t="s">
        <v>92</v>
      </c>
      <c r="Y13" s="243" t="s">
        <v>89</v>
      </c>
      <c r="Z13" s="244">
        <v>66</v>
      </c>
      <c r="AA13" s="238">
        <v>6.8607068607068611E-2</v>
      </c>
      <c r="AB13" s="229"/>
      <c r="AD13" s="239" t="s">
        <v>92</v>
      </c>
      <c r="AE13" s="243" t="s">
        <v>89</v>
      </c>
      <c r="AF13" s="244">
        <v>68</v>
      </c>
      <c r="AG13" s="238">
        <f t="shared" si="4"/>
        <v>7.0320579110651496E-2</v>
      </c>
      <c r="AH13" s="229"/>
      <c r="AJ13" s="239" t="s">
        <v>92</v>
      </c>
      <c r="AK13" s="243" t="s">
        <v>99</v>
      </c>
      <c r="AL13" s="244">
        <v>46</v>
      </c>
      <c r="AM13" s="238">
        <f t="shared" si="1"/>
        <v>5.5354993983152828E-2</v>
      </c>
      <c r="AN13" s="229"/>
      <c r="AP13" s="239" t="s">
        <v>92</v>
      </c>
      <c r="AQ13" s="243" t="s">
        <v>120</v>
      </c>
      <c r="AR13" s="244">
        <v>23</v>
      </c>
      <c r="AS13" s="238">
        <f t="shared" si="2"/>
        <v>4.8936170212765959E-2</v>
      </c>
      <c r="AT13" s="229"/>
    </row>
    <row r="14" spans="1:46" ht="15.75" x14ac:dyDescent="0.25">
      <c r="A14" t="s">
        <v>94</v>
      </c>
      <c r="B14" s="36" t="s">
        <v>95</v>
      </c>
      <c r="C14" s="11">
        <v>41</v>
      </c>
      <c r="D14" s="33">
        <f t="shared" si="0"/>
        <v>4.7785547785547784E-2</v>
      </c>
      <c r="G14" s="40" t="s">
        <v>94</v>
      </c>
      <c r="H14" s="36" t="s">
        <v>101</v>
      </c>
      <c r="I14" s="11">
        <v>40</v>
      </c>
      <c r="J14" s="33">
        <v>4.5351473922902494E-2</v>
      </c>
      <c r="K14" s="40"/>
      <c r="L14" s="40"/>
      <c r="M14" s="40" t="s">
        <v>94</v>
      </c>
      <c r="N14" s="79" t="s">
        <v>99</v>
      </c>
      <c r="O14" s="67">
        <v>47</v>
      </c>
      <c r="P14" s="85">
        <f t="shared" si="3"/>
        <v>5.4209919261822379E-2</v>
      </c>
      <c r="Q14" s="40"/>
      <c r="S14" s="97" t="s">
        <v>93</v>
      </c>
      <c r="T14" s="98">
        <v>56</v>
      </c>
      <c r="U14" s="33">
        <v>6.1002178649237473E-2</v>
      </c>
      <c r="V14" s="40"/>
      <c r="X14" s="239" t="s">
        <v>94</v>
      </c>
      <c r="Y14" s="243" t="s">
        <v>95</v>
      </c>
      <c r="Z14" s="244">
        <v>49</v>
      </c>
      <c r="AA14" s="238">
        <v>5.0935550935550938E-2</v>
      </c>
      <c r="AB14" s="229"/>
      <c r="AD14" s="239" t="s">
        <v>94</v>
      </c>
      <c r="AE14" s="243" t="s">
        <v>140</v>
      </c>
      <c r="AF14" s="244">
        <v>50</v>
      </c>
      <c r="AG14" s="238">
        <f t="shared" si="4"/>
        <v>5.170630816959669E-2</v>
      </c>
      <c r="AH14" s="229"/>
      <c r="AJ14" s="239" t="s">
        <v>94</v>
      </c>
      <c r="AK14" s="243" t="s">
        <v>140</v>
      </c>
      <c r="AL14" s="244">
        <v>29</v>
      </c>
      <c r="AM14" s="238">
        <f t="shared" si="1"/>
        <v>3.4897713598074608E-2</v>
      </c>
      <c r="AN14" s="229"/>
      <c r="AP14" s="239" t="s">
        <v>94</v>
      </c>
      <c r="AQ14" s="243" t="s">
        <v>140</v>
      </c>
      <c r="AR14" s="244">
        <v>20</v>
      </c>
      <c r="AS14" s="238">
        <f t="shared" si="2"/>
        <v>4.2553191489361701E-2</v>
      </c>
      <c r="AT14" s="229"/>
    </row>
    <row r="15" spans="1:46" ht="15.75" x14ac:dyDescent="0.25">
      <c r="A15" t="s">
        <v>96</v>
      </c>
      <c r="B15" s="36" t="s">
        <v>97</v>
      </c>
      <c r="C15" s="11">
        <v>34</v>
      </c>
      <c r="D15" s="33">
        <f t="shared" si="0"/>
        <v>3.9627039627039624E-2</v>
      </c>
      <c r="G15" s="40" t="s">
        <v>96</v>
      </c>
      <c r="H15" s="36" t="s">
        <v>99</v>
      </c>
      <c r="I15" s="11">
        <v>31</v>
      </c>
      <c r="J15" s="33">
        <v>3.5147392290249435E-2</v>
      </c>
      <c r="K15" s="40"/>
      <c r="L15" s="40"/>
      <c r="M15" s="40" t="s">
        <v>96</v>
      </c>
      <c r="N15" s="79" t="s">
        <v>101</v>
      </c>
      <c r="O15" s="67">
        <v>47</v>
      </c>
      <c r="P15" s="85">
        <f t="shared" si="3"/>
        <v>5.4209919261822379E-2</v>
      </c>
      <c r="Q15" s="40"/>
      <c r="S15" s="97" t="s">
        <v>95</v>
      </c>
      <c r="T15" s="98">
        <v>40</v>
      </c>
      <c r="U15" s="33">
        <v>4.357298474945534E-2</v>
      </c>
      <c r="V15" s="40"/>
      <c r="X15" s="239" t="s">
        <v>96</v>
      </c>
      <c r="Y15" s="243" t="s">
        <v>91</v>
      </c>
      <c r="Z15" s="244">
        <v>46</v>
      </c>
      <c r="AA15" s="238">
        <v>4.781704781704782E-2</v>
      </c>
      <c r="AB15" s="229"/>
      <c r="AD15" s="239" t="s">
        <v>96</v>
      </c>
      <c r="AE15" s="243" t="s">
        <v>93</v>
      </c>
      <c r="AF15" s="244">
        <v>49</v>
      </c>
      <c r="AG15" s="238">
        <f t="shared" si="4"/>
        <v>5.0672182006204755E-2</v>
      </c>
      <c r="AH15" s="229"/>
      <c r="AJ15" s="239" t="s">
        <v>96</v>
      </c>
      <c r="AK15" s="243" t="s">
        <v>89</v>
      </c>
      <c r="AL15" s="244">
        <v>27</v>
      </c>
      <c r="AM15" s="238">
        <f t="shared" si="1"/>
        <v>3.2490974729241874E-2</v>
      </c>
      <c r="AN15" s="229"/>
      <c r="AP15" s="239" t="s">
        <v>96</v>
      </c>
      <c r="AQ15" s="243" t="s">
        <v>99</v>
      </c>
      <c r="AR15" s="244">
        <v>18</v>
      </c>
      <c r="AS15" s="238">
        <f t="shared" si="2"/>
        <v>3.8297872340425532E-2</v>
      </c>
      <c r="AT15" s="229"/>
    </row>
    <row r="16" spans="1:46" ht="15.75" x14ac:dyDescent="0.25">
      <c r="A16" t="s">
        <v>98</v>
      </c>
      <c r="B16" s="36" t="s">
        <v>99</v>
      </c>
      <c r="C16" s="11">
        <v>34</v>
      </c>
      <c r="D16" s="33">
        <f t="shared" si="0"/>
        <v>3.9627039627039624E-2</v>
      </c>
      <c r="G16" s="40" t="s">
        <v>98</v>
      </c>
      <c r="H16" s="36" t="s">
        <v>97</v>
      </c>
      <c r="I16" s="11">
        <v>29</v>
      </c>
      <c r="J16" s="33">
        <v>3.2879818594104306E-2</v>
      </c>
      <c r="K16" s="40"/>
      <c r="L16" s="40"/>
      <c r="M16" s="40" t="s">
        <v>98</v>
      </c>
      <c r="N16" s="79" t="s">
        <v>109</v>
      </c>
      <c r="O16" s="67">
        <v>35</v>
      </c>
      <c r="P16" s="85">
        <f t="shared" si="3"/>
        <v>4.0369088811995385E-2</v>
      </c>
      <c r="Q16" s="40"/>
      <c r="S16" s="97" t="s">
        <v>101</v>
      </c>
      <c r="T16" s="98">
        <v>36</v>
      </c>
      <c r="U16" s="33">
        <v>3.9215686274509803E-2</v>
      </c>
      <c r="V16" s="40"/>
      <c r="X16" s="239" t="s">
        <v>98</v>
      </c>
      <c r="Y16" s="243" t="s">
        <v>101</v>
      </c>
      <c r="Z16" s="244">
        <v>43</v>
      </c>
      <c r="AA16" s="238">
        <v>4.4698544698544701E-2</v>
      </c>
      <c r="AB16" s="228"/>
      <c r="AD16" s="239" t="s">
        <v>98</v>
      </c>
      <c r="AE16" s="243" t="s">
        <v>101</v>
      </c>
      <c r="AF16" s="244">
        <v>43</v>
      </c>
      <c r="AG16" s="238">
        <f t="shared" si="4"/>
        <v>4.4467425025853151E-2</v>
      </c>
      <c r="AH16" s="229"/>
      <c r="AJ16" s="239" t="s">
        <v>98</v>
      </c>
      <c r="AK16" s="243" t="s">
        <v>120</v>
      </c>
      <c r="AL16" s="244">
        <v>26</v>
      </c>
      <c r="AM16" s="238">
        <f t="shared" si="1"/>
        <v>3.1287605294825514E-2</v>
      </c>
      <c r="AN16" s="229"/>
      <c r="AP16" s="239" t="s">
        <v>98</v>
      </c>
      <c r="AQ16" s="243" t="s">
        <v>103</v>
      </c>
      <c r="AR16" s="244">
        <v>14</v>
      </c>
      <c r="AS16" s="238">
        <f t="shared" si="2"/>
        <v>2.9787234042553193E-2</v>
      </c>
      <c r="AT16" s="229"/>
    </row>
    <row r="17" spans="1:46" ht="15.75" x14ac:dyDescent="0.25">
      <c r="A17" t="s">
        <v>100</v>
      </c>
      <c r="B17" s="36" t="s">
        <v>101</v>
      </c>
      <c r="C17" s="11">
        <v>33</v>
      </c>
      <c r="D17" s="33">
        <f t="shared" si="0"/>
        <v>3.8461538461538464E-2</v>
      </c>
      <c r="G17" s="40" t="s">
        <v>100</v>
      </c>
      <c r="H17" s="36" t="s">
        <v>95</v>
      </c>
      <c r="I17" s="11">
        <v>22</v>
      </c>
      <c r="J17" s="33">
        <v>2.4943310657596373E-2</v>
      </c>
      <c r="K17" s="40"/>
      <c r="L17" s="40"/>
      <c r="M17" s="40" t="s">
        <v>100</v>
      </c>
      <c r="N17" s="79" t="s">
        <v>105</v>
      </c>
      <c r="O17" s="67">
        <v>27</v>
      </c>
      <c r="P17" s="85">
        <f t="shared" si="3"/>
        <v>3.1141868512110725E-2</v>
      </c>
      <c r="Q17" s="40"/>
      <c r="S17" s="97" t="s">
        <v>105</v>
      </c>
      <c r="T17" s="98">
        <v>21</v>
      </c>
      <c r="U17" s="33">
        <v>2.2875816993464051E-2</v>
      </c>
      <c r="V17" s="40"/>
      <c r="X17" s="239" t="s">
        <v>100</v>
      </c>
      <c r="Y17" s="243" t="s">
        <v>97</v>
      </c>
      <c r="Z17" s="244">
        <v>27</v>
      </c>
      <c r="AA17" s="238">
        <v>2.8066528066528068E-2</v>
      </c>
      <c r="AB17" s="228"/>
      <c r="AD17" s="239" t="s">
        <v>100</v>
      </c>
      <c r="AE17" s="243" t="s">
        <v>97</v>
      </c>
      <c r="AF17" s="244">
        <v>33</v>
      </c>
      <c r="AG17" s="238">
        <f t="shared" si="4"/>
        <v>3.4126163391933813E-2</v>
      </c>
      <c r="AH17" s="229"/>
      <c r="AJ17" s="239" t="s">
        <v>100</v>
      </c>
      <c r="AK17" s="243" t="s">
        <v>101</v>
      </c>
      <c r="AL17" s="244">
        <v>25</v>
      </c>
      <c r="AM17" s="238">
        <f t="shared" si="1"/>
        <v>3.0084235860409144E-2</v>
      </c>
      <c r="AN17" s="229"/>
      <c r="AP17" s="239" t="s">
        <v>100</v>
      </c>
      <c r="AQ17" s="243" t="s">
        <v>109</v>
      </c>
      <c r="AR17" s="244">
        <v>13</v>
      </c>
      <c r="AS17" s="238">
        <f t="shared" si="2"/>
        <v>2.7659574468085105E-2</v>
      </c>
      <c r="AT17" s="229"/>
    </row>
    <row r="18" spans="1:46" ht="15.75" x14ac:dyDescent="0.25">
      <c r="A18" t="s">
        <v>102</v>
      </c>
      <c r="B18" s="36" t="s">
        <v>103</v>
      </c>
      <c r="C18" s="11">
        <v>22</v>
      </c>
      <c r="D18" s="33">
        <f t="shared" si="0"/>
        <v>2.564102564102564E-2</v>
      </c>
      <c r="G18" s="40" t="s">
        <v>102</v>
      </c>
      <c r="H18" s="36" t="s">
        <v>103</v>
      </c>
      <c r="I18" s="11">
        <v>22</v>
      </c>
      <c r="J18" s="33">
        <v>2.4943310657596373E-2</v>
      </c>
      <c r="K18" s="40"/>
      <c r="L18" s="40"/>
      <c r="M18" s="40" t="s">
        <v>102</v>
      </c>
      <c r="N18" s="79" t="s">
        <v>95</v>
      </c>
      <c r="O18" s="67">
        <v>21</v>
      </c>
      <c r="P18" s="85">
        <f t="shared" si="3"/>
        <v>2.4221453287197232E-2</v>
      </c>
      <c r="Q18" s="40"/>
      <c r="S18" s="97" t="s">
        <v>97</v>
      </c>
      <c r="T18" s="98">
        <v>20</v>
      </c>
      <c r="U18" s="33">
        <v>2.178649237472767E-2</v>
      </c>
      <c r="V18" s="40"/>
      <c r="X18" s="239" t="s">
        <v>102</v>
      </c>
      <c r="Y18" s="243" t="s">
        <v>118</v>
      </c>
      <c r="Z18" s="244">
        <v>27</v>
      </c>
      <c r="AA18" s="238">
        <v>2.8066528066528068E-2</v>
      </c>
      <c r="AB18" s="228"/>
      <c r="AD18" s="239" t="s">
        <v>102</v>
      </c>
      <c r="AE18" s="243" t="s">
        <v>95</v>
      </c>
      <c r="AF18" s="244">
        <v>29</v>
      </c>
      <c r="AG18" s="238">
        <f t="shared" si="4"/>
        <v>2.9989658738366079E-2</v>
      </c>
      <c r="AH18" s="229"/>
      <c r="AJ18" s="239" t="s">
        <v>102</v>
      </c>
      <c r="AK18" s="243" t="s">
        <v>123</v>
      </c>
      <c r="AL18" s="244">
        <v>19</v>
      </c>
      <c r="AM18" s="238">
        <f t="shared" si="1"/>
        <v>2.2864019253910951E-2</v>
      </c>
      <c r="AN18" s="229"/>
      <c r="AP18" s="239" t="s">
        <v>102</v>
      </c>
      <c r="AQ18" s="243" t="s">
        <v>95</v>
      </c>
      <c r="AR18" s="244">
        <v>12</v>
      </c>
      <c r="AS18" s="238">
        <f t="shared" si="2"/>
        <v>2.553191489361702E-2</v>
      </c>
      <c r="AT18" s="229"/>
    </row>
    <row r="19" spans="1:46" ht="15.75" x14ac:dyDescent="0.25">
      <c r="A19" t="s">
        <v>104</v>
      </c>
      <c r="B19" s="36" t="s">
        <v>105</v>
      </c>
      <c r="C19" s="11">
        <v>20</v>
      </c>
      <c r="D19" s="33">
        <f t="shared" si="0"/>
        <v>2.3310023310023312E-2</v>
      </c>
      <c r="G19" s="40" t="s">
        <v>104</v>
      </c>
      <c r="H19" s="36" t="s">
        <v>109</v>
      </c>
      <c r="I19" s="11">
        <v>21</v>
      </c>
      <c r="J19" s="33">
        <v>2.3809523809523808E-2</v>
      </c>
      <c r="K19" s="40"/>
      <c r="L19" s="40"/>
      <c r="M19" s="40" t="s">
        <v>104</v>
      </c>
      <c r="N19" s="79" t="s">
        <v>103</v>
      </c>
      <c r="O19" s="67">
        <v>21</v>
      </c>
      <c r="P19" s="85">
        <f t="shared" si="3"/>
        <v>2.4221453287197232E-2</v>
      </c>
      <c r="Q19" s="40"/>
      <c r="S19" s="97" t="s">
        <v>106</v>
      </c>
      <c r="T19" s="98">
        <v>20</v>
      </c>
      <c r="U19" s="33">
        <v>2.178649237472767E-2</v>
      </c>
      <c r="V19" s="40"/>
      <c r="X19" s="239" t="s">
        <v>104</v>
      </c>
      <c r="Y19" s="243" t="s">
        <v>140</v>
      </c>
      <c r="Z19" s="244">
        <v>20</v>
      </c>
      <c r="AA19" s="238">
        <v>2.0790020790020791E-2</v>
      </c>
      <c r="AB19" s="228"/>
      <c r="AD19" s="239" t="s">
        <v>104</v>
      </c>
      <c r="AE19" s="243" t="s">
        <v>103</v>
      </c>
      <c r="AF19" s="244">
        <v>26</v>
      </c>
      <c r="AG19" s="238">
        <f t="shared" si="4"/>
        <v>2.688728024819028E-2</v>
      </c>
      <c r="AH19" s="229"/>
      <c r="AJ19" s="239" t="s">
        <v>104</v>
      </c>
      <c r="AK19" s="243" t="s">
        <v>95</v>
      </c>
      <c r="AL19" s="244">
        <v>16</v>
      </c>
      <c r="AM19" s="238">
        <f t="shared" si="1"/>
        <v>1.9253910950661854E-2</v>
      </c>
      <c r="AN19" s="229"/>
      <c r="AP19" s="239" t="s">
        <v>104</v>
      </c>
      <c r="AQ19" s="243" t="s">
        <v>101</v>
      </c>
      <c r="AR19" s="244">
        <v>12</v>
      </c>
      <c r="AS19" s="238">
        <f t="shared" si="2"/>
        <v>2.553191489361702E-2</v>
      </c>
      <c r="AT19" s="229"/>
    </row>
    <row r="20" spans="1:46" x14ac:dyDescent="0.25">
      <c r="B20" s="37" t="s">
        <v>106</v>
      </c>
      <c r="C20" s="38">
        <v>17</v>
      </c>
      <c r="D20" s="33">
        <f t="shared" si="0"/>
        <v>1.9813519813519812E-2</v>
      </c>
      <c r="G20" s="40"/>
      <c r="H20" s="37" t="s">
        <v>105</v>
      </c>
      <c r="I20" s="38">
        <v>18</v>
      </c>
      <c r="J20" s="33">
        <v>2.0408163265306121E-2</v>
      </c>
      <c r="K20" s="40"/>
      <c r="L20" s="40"/>
      <c r="M20" s="40"/>
      <c r="N20" s="86" t="s">
        <v>107</v>
      </c>
      <c r="O20" s="87">
        <v>18</v>
      </c>
      <c r="P20" s="85">
        <f t="shared" si="3"/>
        <v>2.0761245674740483E-2</v>
      </c>
      <c r="Q20" s="40"/>
      <c r="S20" s="37" t="s">
        <v>145</v>
      </c>
      <c r="T20" s="38">
        <v>18</v>
      </c>
      <c r="U20" s="33">
        <v>1.9607843137254902E-2</v>
      </c>
      <c r="V20" s="40"/>
      <c r="X20" s="229"/>
      <c r="Y20" s="245" t="s">
        <v>103</v>
      </c>
      <c r="Z20" s="246">
        <v>18</v>
      </c>
      <c r="AA20" s="238">
        <v>1.8711018711018712E-2</v>
      </c>
      <c r="AB20" s="228"/>
      <c r="AD20" s="229"/>
      <c r="AE20" s="245" t="s">
        <v>106</v>
      </c>
      <c r="AF20" s="246">
        <v>24</v>
      </c>
      <c r="AG20" s="238">
        <f t="shared" si="4"/>
        <v>2.481902792140641E-2</v>
      </c>
      <c r="AH20" s="229"/>
      <c r="AJ20" s="229"/>
      <c r="AK20" s="245" t="s">
        <v>103</v>
      </c>
      <c r="AL20" s="246">
        <v>16</v>
      </c>
      <c r="AM20" s="238">
        <f t="shared" si="1"/>
        <v>1.9253910950661854E-2</v>
      </c>
      <c r="AN20" s="229"/>
      <c r="AP20" s="229"/>
      <c r="AQ20" s="245" t="s">
        <v>89</v>
      </c>
      <c r="AR20" s="246">
        <v>12</v>
      </c>
      <c r="AS20" s="238">
        <f t="shared" si="2"/>
        <v>2.553191489361702E-2</v>
      </c>
      <c r="AT20" s="229"/>
    </row>
    <row r="21" spans="1:46" x14ac:dyDescent="0.25">
      <c r="B21" s="37" t="s">
        <v>107</v>
      </c>
      <c r="C21" s="38">
        <v>16</v>
      </c>
      <c r="D21" s="33">
        <f t="shared" si="0"/>
        <v>1.8648018648018648E-2</v>
      </c>
      <c r="G21" s="40"/>
      <c r="H21" s="37" t="s">
        <v>107</v>
      </c>
      <c r="I21" s="38">
        <v>14</v>
      </c>
      <c r="J21" s="33">
        <v>1.5873015873015872E-2</v>
      </c>
      <c r="K21" s="40"/>
      <c r="L21" s="40"/>
      <c r="M21" s="40"/>
      <c r="N21" s="86" t="s">
        <v>115</v>
      </c>
      <c r="O21" s="87">
        <v>17</v>
      </c>
      <c r="P21" s="85">
        <f t="shared" si="3"/>
        <v>1.9607843137254902E-2</v>
      </c>
      <c r="Q21" s="40"/>
      <c r="S21" s="37" t="s">
        <v>118</v>
      </c>
      <c r="T21" s="38">
        <v>18</v>
      </c>
      <c r="U21" s="33">
        <v>1.9607843137254902E-2</v>
      </c>
      <c r="V21" s="40"/>
      <c r="X21" s="229"/>
      <c r="Y21" s="245" t="s">
        <v>108</v>
      </c>
      <c r="Z21" s="246">
        <v>17</v>
      </c>
      <c r="AA21" s="238">
        <v>1.7671517671517672E-2</v>
      </c>
      <c r="AB21" s="228"/>
      <c r="AD21" s="229"/>
      <c r="AE21" s="245" t="s">
        <v>120</v>
      </c>
      <c r="AF21" s="246">
        <v>21</v>
      </c>
      <c r="AG21" s="238">
        <f t="shared" si="4"/>
        <v>2.1716649431230611E-2</v>
      </c>
      <c r="AH21" s="229"/>
      <c r="AJ21" s="229"/>
      <c r="AK21" s="245" t="s">
        <v>108</v>
      </c>
      <c r="AL21" s="246">
        <v>13</v>
      </c>
      <c r="AM21" s="238">
        <f t="shared" si="1"/>
        <v>1.5643802647412757E-2</v>
      </c>
      <c r="AN21" s="229"/>
      <c r="AP21" s="229"/>
      <c r="AQ21" s="245" t="s">
        <v>105</v>
      </c>
      <c r="AR21" s="246">
        <v>11</v>
      </c>
      <c r="AS21" s="238">
        <f t="shared" si="2"/>
        <v>2.3404255319148935E-2</v>
      </c>
      <c r="AT21" s="229"/>
    </row>
    <row r="22" spans="1:46" x14ac:dyDescent="0.25">
      <c r="B22" s="37" t="s">
        <v>108</v>
      </c>
      <c r="C22" s="38">
        <v>15</v>
      </c>
      <c r="D22" s="33">
        <f t="shared" si="0"/>
        <v>1.7482517482517484E-2</v>
      </c>
      <c r="G22" s="40"/>
      <c r="H22" s="37" t="s">
        <v>118</v>
      </c>
      <c r="I22" s="38">
        <v>13</v>
      </c>
      <c r="J22" s="33">
        <v>1.4739229024943311E-2</v>
      </c>
      <c r="K22" s="40"/>
      <c r="L22" s="40"/>
      <c r="M22" s="40"/>
      <c r="N22" s="86" t="s">
        <v>120</v>
      </c>
      <c r="O22" s="87">
        <v>17</v>
      </c>
      <c r="P22" s="85">
        <f t="shared" si="3"/>
        <v>1.9607843137254902E-2</v>
      </c>
      <c r="Q22" s="40"/>
      <c r="S22" s="37" t="s">
        <v>103</v>
      </c>
      <c r="T22" s="38">
        <v>15</v>
      </c>
      <c r="U22" s="33">
        <v>1.6339869281045753E-2</v>
      </c>
      <c r="V22" s="40"/>
      <c r="X22" s="229"/>
      <c r="Y22" s="245" t="s">
        <v>106</v>
      </c>
      <c r="Z22" s="246">
        <v>15</v>
      </c>
      <c r="AA22" s="238">
        <v>1.5592515592515593E-2</v>
      </c>
      <c r="AB22" s="228"/>
      <c r="AD22" s="229"/>
      <c r="AE22" s="245" t="s">
        <v>118</v>
      </c>
      <c r="AF22" s="246">
        <v>16</v>
      </c>
      <c r="AG22" s="238">
        <f t="shared" si="4"/>
        <v>1.6546018614270942E-2</v>
      </c>
      <c r="AH22" s="229"/>
      <c r="AJ22" s="229"/>
      <c r="AK22" s="245" t="s">
        <v>105</v>
      </c>
      <c r="AL22" s="246">
        <v>12</v>
      </c>
      <c r="AM22" s="238">
        <f t="shared" si="1"/>
        <v>1.444043321299639E-2</v>
      </c>
      <c r="AN22" s="229"/>
      <c r="AP22" s="229"/>
      <c r="AQ22" s="245" t="s">
        <v>116</v>
      </c>
      <c r="AR22" s="246">
        <v>9</v>
      </c>
      <c r="AS22" s="238">
        <f t="shared" si="2"/>
        <v>1.9148936170212766E-2</v>
      </c>
      <c r="AT22" s="229"/>
    </row>
    <row r="23" spans="1:46" x14ac:dyDescent="0.25">
      <c r="B23" s="37" t="s">
        <v>109</v>
      </c>
      <c r="C23" s="38">
        <v>13</v>
      </c>
      <c r="D23" s="33">
        <f t="shared" si="0"/>
        <v>1.5151515151515152E-2</v>
      </c>
      <c r="G23" s="40"/>
      <c r="H23" s="37" t="s">
        <v>112</v>
      </c>
      <c r="I23" s="38">
        <v>12</v>
      </c>
      <c r="J23" s="33">
        <v>1.3605442176870748E-2</v>
      </c>
      <c r="K23" s="40"/>
      <c r="L23" s="40"/>
      <c r="M23" s="40"/>
      <c r="N23" s="86" t="s">
        <v>110</v>
      </c>
      <c r="O23" s="87">
        <v>12</v>
      </c>
      <c r="P23" s="85">
        <f t="shared" si="3"/>
        <v>1.384083044982699E-2</v>
      </c>
      <c r="Q23" s="40"/>
      <c r="S23" s="37" t="s">
        <v>109</v>
      </c>
      <c r="T23" s="38">
        <v>13</v>
      </c>
      <c r="U23" s="33">
        <v>1.4161220043572984E-2</v>
      </c>
      <c r="V23" s="40"/>
      <c r="X23" s="229"/>
      <c r="Y23" s="245" t="s">
        <v>120</v>
      </c>
      <c r="Z23" s="246">
        <v>13</v>
      </c>
      <c r="AA23" s="238">
        <v>1.3513513513513514E-2</v>
      </c>
      <c r="AB23" s="228"/>
      <c r="AD23" s="229"/>
      <c r="AE23" s="245" t="s">
        <v>126</v>
      </c>
      <c r="AF23" s="246">
        <v>14</v>
      </c>
      <c r="AG23" s="238">
        <f t="shared" si="4"/>
        <v>1.4477766287487074E-2</v>
      </c>
      <c r="AH23" s="229"/>
      <c r="AJ23" s="229"/>
      <c r="AK23" s="245" t="s">
        <v>109</v>
      </c>
      <c r="AL23" s="246">
        <v>12</v>
      </c>
      <c r="AM23" s="238">
        <f t="shared" si="1"/>
        <v>1.444043321299639E-2</v>
      </c>
      <c r="AN23" s="229"/>
      <c r="AP23" s="229"/>
      <c r="AQ23" s="245" t="s">
        <v>123</v>
      </c>
      <c r="AR23" s="246">
        <v>8</v>
      </c>
      <c r="AS23" s="238">
        <f t="shared" si="2"/>
        <v>1.7021276595744681E-2</v>
      </c>
      <c r="AT23" s="229"/>
    </row>
    <row r="24" spans="1:46" x14ac:dyDescent="0.25">
      <c r="B24" s="37" t="s">
        <v>110</v>
      </c>
      <c r="C24" s="38">
        <v>13</v>
      </c>
      <c r="D24" s="33">
        <f t="shared" si="0"/>
        <v>1.5151515151515152E-2</v>
      </c>
      <c r="G24" s="40"/>
      <c r="H24" s="37" t="s">
        <v>125</v>
      </c>
      <c r="I24" s="38">
        <v>11</v>
      </c>
      <c r="J24" s="33">
        <v>1.2471655328798186E-2</v>
      </c>
      <c r="K24" s="40"/>
      <c r="L24" s="40"/>
      <c r="M24" s="40"/>
      <c r="N24" s="86" t="s">
        <v>125</v>
      </c>
      <c r="O24" s="87">
        <v>11</v>
      </c>
      <c r="P24" s="85">
        <f t="shared" si="3"/>
        <v>1.2687427912341407E-2</v>
      </c>
      <c r="Q24" s="40"/>
      <c r="S24" s="37" t="s">
        <v>114</v>
      </c>
      <c r="T24" s="38">
        <v>13</v>
      </c>
      <c r="U24" s="33">
        <v>1.4161220043572984E-2</v>
      </c>
      <c r="V24" s="40"/>
      <c r="X24" s="229"/>
      <c r="Y24" s="245" t="s">
        <v>110</v>
      </c>
      <c r="Z24" s="246">
        <v>12</v>
      </c>
      <c r="AA24" s="238">
        <v>1.2474012474012475E-2</v>
      </c>
      <c r="AB24" s="228"/>
      <c r="AD24" s="229"/>
      <c r="AE24" s="245" t="s">
        <v>108</v>
      </c>
      <c r="AF24" s="246">
        <v>14</v>
      </c>
      <c r="AG24" s="238">
        <f t="shared" si="4"/>
        <v>1.4477766287487074E-2</v>
      </c>
      <c r="AH24" s="229"/>
      <c r="AJ24" s="229"/>
      <c r="AK24" s="245" t="s">
        <v>110</v>
      </c>
      <c r="AL24" s="246">
        <v>10</v>
      </c>
      <c r="AM24" s="238">
        <f t="shared" si="1"/>
        <v>1.2033694344163659E-2</v>
      </c>
      <c r="AN24" s="229"/>
      <c r="AP24" s="229"/>
      <c r="AQ24" s="245" t="s">
        <v>110</v>
      </c>
      <c r="AR24" s="246">
        <v>8</v>
      </c>
      <c r="AS24" s="238">
        <f t="shared" si="2"/>
        <v>1.7021276595744681E-2</v>
      </c>
      <c r="AT24" s="229"/>
    </row>
    <row r="25" spans="1:46" x14ac:dyDescent="0.25">
      <c r="B25" s="37" t="s">
        <v>111</v>
      </c>
      <c r="C25" s="38">
        <v>13</v>
      </c>
      <c r="D25" s="33">
        <f t="shared" si="0"/>
        <v>1.5151515151515152E-2</v>
      </c>
      <c r="G25" s="40"/>
      <c r="H25" s="37" t="s">
        <v>114</v>
      </c>
      <c r="I25" s="38">
        <v>10</v>
      </c>
      <c r="J25" s="33">
        <v>1.1337868480725623E-2</v>
      </c>
      <c r="K25" s="40"/>
      <c r="L25" s="40"/>
      <c r="M25" s="40"/>
      <c r="N25" s="86" t="s">
        <v>118</v>
      </c>
      <c r="O25" s="87">
        <v>11</v>
      </c>
      <c r="P25" s="85">
        <f t="shared" si="3"/>
        <v>1.2687427912341407E-2</v>
      </c>
      <c r="Q25" s="40"/>
      <c r="S25" s="37" t="s">
        <v>110</v>
      </c>
      <c r="T25" s="38">
        <v>13</v>
      </c>
      <c r="U25" s="33">
        <v>1.4161220043572984E-2</v>
      </c>
      <c r="V25" s="40"/>
      <c r="X25" s="229"/>
      <c r="Y25" s="245" t="s">
        <v>138</v>
      </c>
      <c r="Z25" s="246">
        <v>11</v>
      </c>
      <c r="AA25" s="238">
        <v>1.1434511434511435E-2</v>
      </c>
      <c r="AB25" s="228"/>
      <c r="AD25" s="229"/>
      <c r="AE25" s="245" t="s">
        <v>111</v>
      </c>
      <c r="AF25" s="246">
        <v>14</v>
      </c>
      <c r="AG25" s="238">
        <f t="shared" si="4"/>
        <v>1.4477766287487074E-2</v>
      </c>
      <c r="AH25" s="229"/>
      <c r="AJ25" s="229"/>
      <c r="AK25" s="245" t="s">
        <v>124</v>
      </c>
      <c r="AL25" s="246">
        <v>10</v>
      </c>
      <c r="AM25" s="238">
        <f t="shared" si="1"/>
        <v>1.2033694344163659E-2</v>
      </c>
      <c r="AN25" s="229"/>
      <c r="AP25" s="229"/>
      <c r="AQ25" s="245" t="s">
        <v>115</v>
      </c>
      <c r="AR25" s="246">
        <v>7</v>
      </c>
      <c r="AS25" s="238">
        <f t="shared" si="2"/>
        <v>1.4893617021276596E-2</v>
      </c>
      <c r="AT25" s="229"/>
    </row>
    <row r="26" spans="1:46" x14ac:dyDescent="0.25">
      <c r="B26" s="37" t="s">
        <v>112</v>
      </c>
      <c r="C26" s="38">
        <v>13</v>
      </c>
      <c r="D26" s="33">
        <f t="shared" si="0"/>
        <v>1.5151515151515152E-2</v>
      </c>
      <c r="G26" s="40"/>
      <c r="H26" s="37" t="s">
        <v>120</v>
      </c>
      <c r="I26" s="38">
        <v>10</v>
      </c>
      <c r="J26" s="33">
        <v>1.1337868480725623E-2</v>
      </c>
      <c r="K26" s="40"/>
      <c r="L26" s="40"/>
      <c r="M26" s="40"/>
      <c r="N26" s="86" t="s">
        <v>114</v>
      </c>
      <c r="O26" s="87">
        <v>9</v>
      </c>
      <c r="P26" s="85">
        <f t="shared" si="3"/>
        <v>1.0380622837370242E-2</v>
      </c>
      <c r="Q26" s="40"/>
      <c r="S26" s="37" t="s">
        <v>117</v>
      </c>
      <c r="T26" s="38">
        <v>13</v>
      </c>
      <c r="U26" s="33">
        <v>1.4161220043572984E-2</v>
      </c>
      <c r="V26" s="40"/>
      <c r="X26" s="229"/>
      <c r="Y26" s="245" t="s">
        <v>128</v>
      </c>
      <c r="Z26" s="246">
        <v>11</v>
      </c>
      <c r="AA26" s="238">
        <v>1.1434511434511435E-2</v>
      </c>
      <c r="AB26" s="228"/>
      <c r="AD26" s="229"/>
      <c r="AE26" s="245" t="s">
        <v>110</v>
      </c>
      <c r="AF26" s="246">
        <v>11</v>
      </c>
      <c r="AG26" s="238">
        <f t="shared" si="4"/>
        <v>1.1375387797311272E-2</v>
      </c>
      <c r="AH26" s="229"/>
      <c r="AJ26" s="229"/>
      <c r="AK26" s="245" t="s">
        <v>116</v>
      </c>
      <c r="AL26" s="246">
        <v>9</v>
      </c>
      <c r="AM26" s="238">
        <f t="shared" si="1"/>
        <v>1.0830324909747292E-2</v>
      </c>
      <c r="AN26" s="229"/>
      <c r="AP26" s="229"/>
      <c r="AQ26" s="245" t="s">
        <v>128</v>
      </c>
      <c r="AR26" s="246">
        <v>6</v>
      </c>
      <c r="AS26" s="238">
        <f t="shared" si="2"/>
        <v>1.276595744680851E-2</v>
      </c>
      <c r="AT26" s="229"/>
    </row>
    <row r="27" spans="1:46" x14ac:dyDescent="0.25">
      <c r="B27" s="37" t="s">
        <v>113</v>
      </c>
      <c r="C27" s="38">
        <v>11</v>
      </c>
      <c r="D27" s="33">
        <f t="shared" si="0"/>
        <v>1.282051282051282E-2</v>
      </c>
      <c r="G27" s="40"/>
      <c r="H27" s="37" t="s">
        <v>116</v>
      </c>
      <c r="I27" s="38">
        <v>10</v>
      </c>
      <c r="J27" s="33">
        <v>1.1337868480725623E-2</v>
      </c>
      <c r="K27" s="40"/>
      <c r="L27" s="40"/>
      <c r="M27" s="40"/>
      <c r="N27" s="86" t="s">
        <v>91</v>
      </c>
      <c r="O27" s="87">
        <v>9</v>
      </c>
      <c r="P27" s="85">
        <f t="shared" si="3"/>
        <v>1.0380622837370242E-2</v>
      </c>
      <c r="Q27" s="40"/>
      <c r="S27" s="37" t="s">
        <v>120</v>
      </c>
      <c r="T27" s="38">
        <v>11</v>
      </c>
      <c r="U27" s="33">
        <v>1.1982570806100218E-2</v>
      </c>
      <c r="V27" s="40"/>
      <c r="X27" s="229"/>
      <c r="Y27" s="245" t="s">
        <v>105</v>
      </c>
      <c r="Z27" s="246">
        <v>11</v>
      </c>
      <c r="AA27" s="238">
        <v>1.1434511434511435E-2</v>
      </c>
      <c r="AB27" s="228"/>
      <c r="AD27" s="229"/>
      <c r="AE27" s="245" t="s">
        <v>112</v>
      </c>
      <c r="AF27" s="246">
        <v>9</v>
      </c>
      <c r="AG27" s="238">
        <f t="shared" si="4"/>
        <v>9.3071354705274046E-3</v>
      </c>
      <c r="AH27" s="229"/>
      <c r="AJ27" s="229"/>
      <c r="AK27" s="245" t="s">
        <v>111</v>
      </c>
      <c r="AL27" s="246">
        <v>8</v>
      </c>
      <c r="AM27" s="238">
        <f t="shared" si="1"/>
        <v>9.6269554753309269E-3</v>
      </c>
      <c r="AN27" s="229"/>
      <c r="AP27" s="229"/>
      <c r="AQ27" s="245" t="s">
        <v>112</v>
      </c>
      <c r="AR27" s="246">
        <v>6</v>
      </c>
      <c r="AS27" s="238">
        <f t="shared" si="2"/>
        <v>1.276595744680851E-2</v>
      </c>
      <c r="AT27" s="229"/>
    </row>
    <row r="28" spans="1:46" x14ac:dyDescent="0.25">
      <c r="B28" s="36" t="s">
        <v>114</v>
      </c>
      <c r="C28" s="11">
        <v>9</v>
      </c>
      <c r="D28" s="33">
        <f t="shared" si="0"/>
        <v>1.048951048951049E-2</v>
      </c>
      <c r="G28" s="40"/>
      <c r="H28" s="36" t="s">
        <v>123</v>
      </c>
      <c r="I28" s="11">
        <v>9</v>
      </c>
      <c r="J28" s="33">
        <v>1.020408163265306E-2</v>
      </c>
      <c r="K28" s="40"/>
      <c r="L28" s="40"/>
      <c r="M28" s="40"/>
      <c r="N28" s="79" t="s">
        <v>126</v>
      </c>
      <c r="O28" s="67">
        <v>8</v>
      </c>
      <c r="P28" s="85">
        <f t="shared" si="3"/>
        <v>9.22722029988466E-3</v>
      </c>
      <c r="Q28" s="40"/>
      <c r="S28" s="36" t="s">
        <v>140</v>
      </c>
      <c r="T28" s="11">
        <v>9</v>
      </c>
      <c r="U28" s="33">
        <v>9.8039215686274508E-3</v>
      </c>
      <c r="V28" s="40"/>
      <c r="X28" s="229"/>
      <c r="Y28" s="247" t="s">
        <v>176</v>
      </c>
      <c r="Z28" s="248">
        <v>10</v>
      </c>
      <c r="AA28" s="238">
        <v>1.0395010395010396E-2</v>
      </c>
      <c r="AB28" s="228"/>
      <c r="AD28" s="229"/>
      <c r="AE28" s="247" t="s">
        <v>105</v>
      </c>
      <c r="AF28" s="248">
        <v>9</v>
      </c>
      <c r="AG28" s="238">
        <f t="shared" si="4"/>
        <v>9.3071354705274046E-3</v>
      </c>
      <c r="AH28" s="229"/>
      <c r="AJ28" s="229"/>
      <c r="AK28" s="247" t="s">
        <v>137</v>
      </c>
      <c r="AL28" s="248">
        <v>8</v>
      </c>
      <c r="AM28" s="238">
        <f t="shared" si="1"/>
        <v>9.6269554753309269E-3</v>
      </c>
      <c r="AN28" s="229"/>
      <c r="AP28" s="229"/>
      <c r="AQ28" s="247" t="s">
        <v>145</v>
      </c>
      <c r="AR28" s="248">
        <v>6</v>
      </c>
      <c r="AS28" s="238">
        <f t="shared" si="2"/>
        <v>1.276595744680851E-2</v>
      </c>
      <c r="AT28" s="229"/>
    </row>
    <row r="29" spans="1:46" x14ac:dyDescent="0.25">
      <c r="B29" s="36" t="s">
        <v>115</v>
      </c>
      <c r="C29" s="11">
        <v>8</v>
      </c>
      <c r="D29" s="33">
        <f t="shared" si="0"/>
        <v>9.324009324009324E-3</v>
      </c>
      <c r="G29" s="40"/>
      <c r="H29" s="36" t="s">
        <v>126</v>
      </c>
      <c r="I29" s="11">
        <v>9</v>
      </c>
      <c r="J29" s="33">
        <v>1.020408163265306E-2</v>
      </c>
      <c r="K29" s="40"/>
      <c r="L29" s="40"/>
      <c r="M29" s="40"/>
      <c r="N29" s="79" t="s">
        <v>111</v>
      </c>
      <c r="O29" s="67">
        <v>8</v>
      </c>
      <c r="P29" s="85">
        <f t="shared" si="3"/>
        <v>9.22722029988466E-3</v>
      </c>
      <c r="Q29" s="40"/>
      <c r="S29" s="36" t="s">
        <v>126</v>
      </c>
      <c r="T29" s="11">
        <v>9</v>
      </c>
      <c r="U29" s="33">
        <v>9.8039215686274508E-3</v>
      </c>
      <c r="V29" s="40"/>
      <c r="X29" s="229"/>
      <c r="Y29" s="247" t="s">
        <v>114</v>
      </c>
      <c r="Z29" s="248">
        <v>10</v>
      </c>
      <c r="AA29" s="238">
        <v>1.0395010395010396E-2</v>
      </c>
      <c r="AB29" s="228"/>
      <c r="AD29" s="229"/>
      <c r="AE29" s="247" t="s">
        <v>114</v>
      </c>
      <c r="AF29" s="248">
        <v>9</v>
      </c>
      <c r="AG29" s="238">
        <f t="shared" si="4"/>
        <v>9.3071354705274046E-3</v>
      </c>
      <c r="AH29" s="229"/>
      <c r="AJ29" s="229"/>
      <c r="AK29" s="247" t="s">
        <v>118</v>
      </c>
      <c r="AL29" s="248">
        <v>8</v>
      </c>
      <c r="AM29" s="238">
        <f t="shared" si="1"/>
        <v>9.6269554753309269E-3</v>
      </c>
      <c r="AN29" s="229"/>
      <c r="AP29" s="229"/>
      <c r="AQ29" s="247" t="s">
        <v>107</v>
      </c>
      <c r="AR29" s="248">
        <v>6</v>
      </c>
      <c r="AS29" s="238">
        <f t="shared" si="2"/>
        <v>1.276595744680851E-2</v>
      </c>
      <c r="AT29" s="229"/>
    </row>
    <row r="30" spans="1:46" x14ac:dyDescent="0.25">
      <c r="B30" s="36" t="s">
        <v>116</v>
      </c>
      <c r="C30" s="11">
        <v>7</v>
      </c>
      <c r="D30" s="33">
        <f t="shared" si="0"/>
        <v>8.1585081585081581E-3</v>
      </c>
      <c r="G30" s="40"/>
      <c r="H30" s="36" t="s">
        <v>106</v>
      </c>
      <c r="I30" s="11">
        <v>9</v>
      </c>
      <c r="J30" s="33">
        <v>1.020408163265306E-2</v>
      </c>
      <c r="K30" s="40"/>
      <c r="L30" s="40"/>
      <c r="M30" s="40"/>
      <c r="N30" s="79" t="s">
        <v>116</v>
      </c>
      <c r="O30" s="67">
        <v>6</v>
      </c>
      <c r="P30" s="85">
        <f t="shared" si="3"/>
        <v>6.920415224913495E-3</v>
      </c>
      <c r="Q30" s="40"/>
      <c r="S30" s="36" t="s">
        <v>125</v>
      </c>
      <c r="T30" s="11">
        <v>8</v>
      </c>
      <c r="U30" s="33">
        <v>8.7145969498910684E-3</v>
      </c>
      <c r="V30" s="40"/>
      <c r="X30" s="229"/>
      <c r="Y30" s="247" t="s">
        <v>117</v>
      </c>
      <c r="Z30" s="248">
        <v>8</v>
      </c>
      <c r="AA30" s="238">
        <v>8.3160083160083165E-3</v>
      </c>
      <c r="AB30" s="228"/>
      <c r="AD30" s="229"/>
      <c r="AE30" s="247" t="s">
        <v>117</v>
      </c>
      <c r="AF30" s="248">
        <v>8</v>
      </c>
      <c r="AG30" s="238">
        <f t="shared" si="4"/>
        <v>8.2730093071354711E-3</v>
      </c>
      <c r="AH30" s="229"/>
      <c r="AJ30" s="229"/>
      <c r="AK30" s="247" t="s">
        <v>97</v>
      </c>
      <c r="AL30" s="248">
        <v>6</v>
      </c>
      <c r="AM30" s="238">
        <f t="shared" si="1"/>
        <v>7.2202166064981952E-3</v>
      </c>
      <c r="AN30" s="229"/>
      <c r="AP30" s="229"/>
      <c r="AQ30" s="247" t="s">
        <v>150</v>
      </c>
      <c r="AR30" s="248">
        <v>6</v>
      </c>
      <c r="AS30" s="238">
        <f t="shared" si="2"/>
        <v>1.276595744680851E-2</v>
      </c>
      <c r="AT30" s="229"/>
    </row>
    <row r="31" spans="1:46" x14ac:dyDescent="0.25">
      <c r="B31" s="36" t="s">
        <v>117</v>
      </c>
      <c r="C31" s="11">
        <v>7</v>
      </c>
      <c r="D31" s="33">
        <f t="shared" si="0"/>
        <v>8.1585081585081581E-3</v>
      </c>
      <c r="G31" s="40"/>
      <c r="H31" s="36" t="s">
        <v>113</v>
      </c>
      <c r="I31" s="11">
        <v>9</v>
      </c>
      <c r="J31" s="33">
        <v>1.020408163265306E-2</v>
      </c>
      <c r="K31" s="40"/>
      <c r="L31" s="40"/>
      <c r="M31" s="40"/>
      <c r="N31" s="79" t="s">
        <v>150</v>
      </c>
      <c r="O31" s="67">
        <v>5</v>
      </c>
      <c r="P31" s="85">
        <f t="shared" si="3"/>
        <v>5.7670126874279125E-3</v>
      </c>
      <c r="Q31" s="40"/>
      <c r="S31" s="36" t="s">
        <v>115</v>
      </c>
      <c r="T31" s="11">
        <v>8</v>
      </c>
      <c r="U31" s="33">
        <v>8.7145969498910684E-3</v>
      </c>
      <c r="V31" s="40"/>
      <c r="X31" s="229"/>
      <c r="Y31" s="247" t="s">
        <v>112</v>
      </c>
      <c r="Z31" s="248">
        <v>8</v>
      </c>
      <c r="AA31" s="238">
        <v>8.3160083160083165E-3</v>
      </c>
      <c r="AB31" s="228"/>
      <c r="AD31" s="229"/>
      <c r="AE31" s="247" t="s">
        <v>145</v>
      </c>
      <c r="AF31" s="248">
        <v>8</v>
      </c>
      <c r="AG31" s="238">
        <f t="shared" si="4"/>
        <v>8.2730093071354711E-3</v>
      </c>
      <c r="AH31" s="229"/>
      <c r="AJ31" s="229"/>
      <c r="AK31" s="247" t="s">
        <v>106</v>
      </c>
      <c r="AL31" s="248">
        <v>6</v>
      </c>
      <c r="AM31" s="238">
        <f t="shared" si="1"/>
        <v>7.2202166064981952E-3</v>
      </c>
      <c r="AN31" s="229"/>
      <c r="AP31" s="229"/>
      <c r="AQ31" s="247" t="s">
        <v>108</v>
      </c>
      <c r="AR31" s="248">
        <v>5</v>
      </c>
      <c r="AS31" s="238">
        <f t="shared" si="2"/>
        <v>1.0638297872340425E-2</v>
      </c>
      <c r="AT31" s="229"/>
    </row>
    <row r="32" spans="1:46" x14ac:dyDescent="0.25">
      <c r="B32" s="36" t="s">
        <v>118</v>
      </c>
      <c r="C32" s="11">
        <v>6</v>
      </c>
      <c r="D32" s="33">
        <f t="shared" si="0"/>
        <v>6.993006993006993E-3</v>
      </c>
      <c r="G32" s="40"/>
      <c r="H32" s="36" t="s">
        <v>110</v>
      </c>
      <c r="I32" s="11">
        <v>8</v>
      </c>
      <c r="J32" s="33">
        <v>9.0702947845804991E-3</v>
      </c>
      <c r="K32" s="40"/>
      <c r="L32" s="40"/>
      <c r="M32" s="40"/>
      <c r="N32" s="79" t="s">
        <v>113</v>
      </c>
      <c r="O32" s="67">
        <v>5</v>
      </c>
      <c r="P32" s="85">
        <f t="shared" si="3"/>
        <v>5.7670126874279125E-3</v>
      </c>
      <c r="Q32" s="40"/>
      <c r="S32" s="36" t="s">
        <v>113</v>
      </c>
      <c r="T32" s="11">
        <v>8</v>
      </c>
      <c r="U32" s="33">
        <v>8.7145969498910684E-3</v>
      </c>
      <c r="V32" s="40"/>
      <c r="X32" s="228"/>
      <c r="Y32" s="247" t="s">
        <v>126</v>
      </c>
      <c r="Z32" s="248">
        <v>8</v>
      </c>
      <c r="AA32" s="238">
        <v>8.3160083160083165E-3</v>
      </c>
      <c r="AB32" s="228"/>
      <c r="AD32" s="229"/>
      <c r="AE32" s="247" t="s">
        <v>123</v>
      </c>
      <c r="AF32" s="248">
        <v>8</v>
      </c>
      <c r="AG32" s="238">
        <f t="shared" si="4"/>
        <v>8.2730093071354711E-3</v>
      </c>
      <c r="AH32" s="229"/>
      <c r="AJ32" s="229"/>
      <c r="AK32" s="247" t="s">
        <v>112</v>
      </c>
      <c r="AL32" s="248">
        <v>5</v>
      </c>
      <c r="AM32" s="238">
        <f t="shared" si="1"/>
        <v>6.0168471720818293E-3</v>
      </c>
      <c r="AN32" s="229"/>
      <c r="AP32" s="229"/>
      <c r="AQ32" s="247" t="s">
        <v>97</v>
      </c>
      <c r="AR32" s="248">
        <v>5</v>
      </c>
      <c r="AS32" s="238">
        <f t="shared" si="2"/>
        <v>1.0638297872340425E-2</v>
      </c>
      <c r="AT32" s="229"/>
    </row>
    <row r="33" spans="2:46" x14ac:dyDescent="0.25">
      <c r="B33" s="36" t="s">
        <v>119</v>
      </c>
      <c r="C33" s="11">
        <v>6</v>
      </c>
      <c r="D33" s="33">
        <f t="shared" si="0"/>
        <v>6.993006993006993E-3</v>
      </c>
      <c r="G33" s="40"/>
      <c r="H33" s="36" t="s">
        <v>115</v>
      </c>
      <c r="I33" s="11">
        <v>7</v>
      </c>
      <c r="J33" s="33">
        <v>7.9365079365079361E-3</v>
      </c>
      <c r="K33" s="40"/>
      <c r="L33" s="40"/>
      <c r="M33" s="40"/>
      <c r="N33" s="79" t="s">
        <v>138</v>
      </c>
      <c r="O33" s="67">
        <v>5</v>
      </c>
      <c r="P33" s="85">
        <f t="shared" si="3"/>
        <v>5.7670126874279125E-3</v>
      </c>
      <c r="Q33" s="40"/>
      <c r="S33" s="36" t="s">
        <v>138</v>
      </c>
      <c r="T33" s="11">
        <v>7</v>
      </c>
      <c r="U33" s="33">
        <v>7.6252723311546842E-3</v>
      </c>
      <c r="V33" s="40"/>
      <c r="X33" s="228"/>
      <c r="Y33" s="247" t="s">
        <v>123</v>
      </c>
      <c r="Z33" s="248">
        <v>8</v>
      </c>
      <c r="AA33" s="238">
        <v>8.3160083160083165E-3</v>
      </c>
      <c r="AB33" s="228"/>
      <c r="AD33" s="229"/>
      <c r="AE33" s="247" t="s">
        <v>107</v>
      </c>
      <c r="AF33" s="248">
        <v>7</v>
      </c>
      <c r="AG33" s="238">
        <f t="shared" si="4"/>
        <v>7.2388831437435368E-3</v>
      </c>
      <c r="AH33" s="229"/>
      <c r="AJ33" s="229"/>
      <c r="AK33" s="247" t="s">
        <v>131</v>
      </c>
      <c r="AL33" s="248">
        <v>5</v>
      </c>
      <c r="AM33" s="238">
        <f t="shared" si="1"/>
        <v>6.0168471720818293E-3</v>
      </c>
      <c r="AN33" s="229"/>
      <c r="AP33" s="229"/>
      <c r="AQ33" s="247" t="s">
        <v>111</v>
      </c>
      <c r="AR33" s="248">
        <v>5</v>
      </c>
      <c r="AS33" s="238">
        <f t="shared" si="2"/>
        <v>1.0638297872340425E-2</v>
      </c>
      <c r="AT33" s="229"/>
    </row>
    <row r="34" spans="2:46" x14ac:dyDescent="0.25">
      <c r="B34" s="36" t="s">
        <v>120</v>
      </c>
      <c r="C34" s="11">
        <v>6</v>
      </c>
      <c r="D34" s="33">
        <f t="shared" si="0"/>
        <v>6.993006993006993E-3</v>
      </c>
      <c r="G34" s="40"/>
      <c r="H34" s="36" t="s">
        <v>128</v>
      </c>
      <c r="I34" s="11">
        <v>6</v>
      </c>
      <c r="J34" s="33">
        <v>6.8027210884353739E-3</v>
      </c>
      <c r="K34" s="40"/>
      <c r="L34" s="40"/>
      <c r="M34" s="40"/>
      <c r="N34" s="79" t="s">
        <v>108</v>
      </c>
      <c r="O34" s="67">
        <v>5</v>
      </c>
      <c r="P34" s="85">
        <f t="shared" si="3"/>
        <v>5.7670126874279125E-3</v>
      </c>
      <c r="Q34" s="40"/>
      <c r="S34" s="36" t="s">
        <v>112</v>
      </c>
      <c r="T34" s="11">
        <v>7</v>
      </c>
      <c r="U34" s="33">
        <v>7.6252723311546842E-3</v>
      </c>
      <c r="V34" s="40"/>
      <c r="X34" s="228"/>
      <c r="Y34" s="247" t="s">
        <v>115</v>
      </c>
      <c r="Z34" s="248">
        <v>7</v>
      </c>
      <c r="AA34" s="238">
        <v>7.2765072765072769E-3</v>
      </c>
      <c r="AB34" s="228"/>
      <c r="AD34" s="229"/>
      <c r="AE34" s="247" t="s">
        <v>133</v>
      </c>
      <c r="AF34" s="248">
        <v>7</v>
      </c>
      <c r="AG34" s="238">
        <f t="shared" si="4"/>
        <v>7.2388831437435368E-3</v>
      </c>
      <c r="AH34" s="229"/>
      <c r="AJ34" s="229"/>
      <c r="AK34" s="247" t="s">
        <v>128</v>
      </c>
      <c r="AL34" s="248">
        <v>4</v>
      </c>
      <c r="AM34" s="238">
        <f t="shared" si="1"/>
        <v>4.8134777376654635E-3</v>
      </c>
      <c r="AN34" s="229"/>
      <c r="AP34" s="229"/>
      <c r="AQ34" s="247" t="s">
        <v>117</v>
      </c>
      <c r="AR34" s="248">
        <v>5</v>
      </c>
      <c r="AS34" s="238">
        <f t="shared" si="2"/>
        <v>1.0638297872340425E-2</v>
      </c>
      <c r="AT34" s="229"/>
    </row>
    <row r="35" spans="2:46" x14ac:dyDescent="0.25">
      <c r="B35" s="36" t="s">
        <v>121</v>
      </c>
      <c r="C35" s="11">
        <v>5</v>
      </c>
      <c r="D35" s="33">
        <f t="shared" si="0"/>
        <v>5.8275058275058279E-3</v>
      </c>
      <c r="G35" s="40"/>
      <c r="H35" s="36" t="s">
        <v>108</v>
      </c>
      <c r="I35" s="11">
        <v>6</v>
      </c>
      <c r="J35" s="33">
        <v>6.8027210884353739E-3</v>
      </c>
      <c r="K35" s="40"/>
      <c r="L35" s="40"/>
      <c r="M35" s="40"/>
      <c r="N35" s="79" t="s">
        <v>161</v>
      </c>
      <c r="O35" s="67">
        <v>5</v>
      </c>
      <c r="P35" s="85">
        <f t="shared" si="3"/>
        <v>5.7670126874279125E-3</v>
      </c>
      <c r="Q35" s="40"/>
      <c r="S35" s="36" t="s">
        <v>136</v>
      </c>
      <c r="T35" s="11">
        <v>7</v>
      </c>
      <c r="U35" s="33">
        <v>7.6252723311546842E-3</v>
      </c>
      <c r="V35" s="40"/>
      <c r="X35" s="228"/>
      <c r="Y35" s="247" t="s">
        <v>135</v>
      </c>
      <c r="Z35" s="248">
        <v>7</v>
      </c>
      <c r="AA35" s="238">
        <v>7.2765072765072769E-3</v>
      </c>
      <c r="AB35" s="228"/>
      <c r="AD35" s="229"/>
      <c r="AE35" s="247" t="s">
        <v>116</v>
      </c>
      <c r="AF35" s="248">
        <v>7</v>
      </c>
      <c r="AG35" s="238">
        <f t="shared" si="4"/>
        <v>7.2388831437435368E-3</v>
      </c>
      <c r="AH35" s="229"/>
      <c r="AJ35" s="229"/>
      <c r="AK35" s="247" t="s">
        <v>115</v>
      </c>
      <c r="AL35" s="248">
        <v>4</v>
      </c>
      <c r="AM35" s="238">
        <f t="shared" si="1"/>
        <v>4.8134777376654635E-3</v>
      </c>
      <c r="AN35" s="229"/>
      <c r="AP35" s="229"/>
      <c r="AQ35" s="247" t="s">
        <v>121</v>
      </c>
      <c r="AR35" s="248">
        <v>4</v>
      </c>
      <c r="AS35" s="238">
        <f t="shared" si="2"/>
        <v>8.5106382978723406E-3</v>
      </c>
      <c r="AT35" s="229"/>
    </row>
    <row r="36" spans="2:46" x14ac:dyDescent="0.25">
      <c r="B36" s="36" t="s">
        <v>122</v>
      </c>
      <c r="C36" s="11">
        <v>5</v>
      </c>
      <c r="D36" s="33">
        <f t="shared" si="0"/>
        <v>5.8275058275058279E-3</v>
      </c>
      <c r="G36" s="40"/>
      <c r="H36" s="36" t="s">
        <v>111</v>
      </c>
      <c r="I36" s="11">
        <v>6</v>
      </c>
      <c r="J36" s="33">
        <v>6.8027210884353739E-3</v>
      </c>
      <c r="K36" s="40"/>
      <c r="L36" s="40"/>
      <c r="M36" s="40"/>
      <c r="N36" s="79" t="s">
        <v>124</v>
      </c>
      <c r="O36" s="67">
        <v>4</v>
      </c>
      <c r="P36" s="85">
        <f t="shared" si="3"/>
        <v>4.61361014994233E-3</v>
      </c>
      <c r="Q36" s="40"/>
      <c r="S36" s="36" t="s">
        <v>111</v>
      </c>
      <c r="T36" s="11">
        <v>6</v>
      </c>
      <c r="U36" s="33">
        <v>6.5359477124183009E-3</v>
      </c>
      <c r="V36" s="40"/>
      <c r="X36" s="228"/>
      <c r="Y36" s="247" t="s">
        <v>107</v>
      </c>
      <c r="Z36" s="248">
        <v>7</v>
      </c>
      <c r="AA36" s="238">
        <v>7.2765072765072769E-3</v>
      </c>
      <c r="AB36" s="228"/>
      <c r="AD36" s="229"/>
      <c r="AE36" s="247" t="s">
        <v>125</v>
      </c>
      <c r="AF36" s="248">
        <v>7</v>
      </c>
      <c r="AG36" s="238">
        <f t="shared" si="4"/>
        <v>7.2388831437435368E-3</v>
      </c>
      <c r="AH36" s="229"/>
      <c r="AJ36" s="229"/>
      <c r="AK36" s="247" t="s">
        <v>145</v>
      </c>
      <c r="AL36" s="248">
        <v>4</v>
      </c>
      <c r="AM36" s="238">
        <f t="shared" si="1"/>
        <v>4.8134777376654635E-3</v>
      </c>
      <c r="AN36" s="229"/>
      <c r="AP36" s="229"/>
      <c r="AQ36" s="247" t="s">
        <v>126</v>
      </c>
      <c r="AR36" s="248">
        <v>4</v>
      </c>
      <c r="AS36" s="238">
        <f t="shared" si="2"/>
        <v>8.5106382978723406E-3</v>
      </c>
      <c r="AT36" s="229"/>
    </row>
    <row r="37" spans="2:46" x14ac:dyDescent="0.25">
      <c r="B37" s="36" t="s">
        <v>123</v>
      </c>
      <c r="C37" s="11">
        <v>5</v>
      </c>
      <c r="D37" s="33">
        <f t="shared" si="0"/>
        <v>5.8275058275058279E-3</v>
      </c>
      <c r="G37" s="40"/>
      <c r="H37" s="36" t="s">
        <v>117</v>
      </c>
      <c r="I37" s="11">
        <v>6</v>
      </c>
      <c r="J37" s="33">
        <v>6.8027210884353739E-3</v>
      </c>
      <c r="K37" s="40"/>
      <c r="L37" s="40"/>
      <c r="M37" s="40"/>
      <c r="N37" s="79" t="s">
        <v>112</v>
      </c>
      <c r="O37" s="67">
        <v>4</v>
      </c>
      <c r="P37" s="85">
        <f t="shared" si="3"/>
        <v>4.61361014994233E-3</v>
      </c>
      <c r="Q37" s="40"/>
      <c r="S37" s="36" t="s">
        <v>116</v>
      </c>
      <c r="T37" s="11">
        <v>6</v>
      </c>
      <c r="U37" s="33">
        <v>6.5359477124183009E-3</v>
      </c>
      <c r="V37" s="40"/>
      <c r="X37" s="228"/>
      <c r="Y37" s="247" t="s">
        <v>109</v>
      </c>
      <c r="Z37" s="248">
        <v>7</v>
      </c>
      <c r="AA37" s="238">
        <v>7.2765072765072769E-3</v>
      </c>
      <c r="AB37" s="228"/>
      <c r="AD37" s="229"/>
      <c r="AE37" s="247" t="s">
        <v>159</v>
      </c>
      <c r="AF37" s="248">
        <v>7</v>
      </c>
      <c r="AG37" s="238">
        <f t="shared" si="4"/>
        <v>7.2388831437435368E-3</v>
      </c>
      <c r="AH37" s="229"/>
      <c r="AJ37" s="229"/>
      <c r="AK37" s="247" t="s">
        <v>107</v>
      </c>
      <c r="AL37" s="248">
        <v>4</v>
      </c>
      <c r="AM37" s="238">
        <f t="shared" si="1"/>
        <v>4.8134777376654635E-3</v>
      </c>
      <c r="AN37" s="229"/>
      <c r="AP37" s="229"/>
      <c r="AQ37" s="247" t="s">
        <v>124</v>
      </c>
      <c r="AR37" s="248">
        <v>4</v>
      </c>
      <c r="AS37" s="238">
        <f t="shared" si="2"/>
        <v>8.5106382978723406E-3</v>
      </c>
      <c r="AT37" s="229"/>
    </row>
    <row r="38" spans="2:46" x14ac:dyDescent="0.25">
      <c r="B38" s="36" t="s">
        <v>124</v>
      </c>
      <c r="C38" s="11">
        <v>5</v>
      </c>
      <c r="D38" s="33">
        <f t="shared" si="0"/>
        <v>5.8275058275058279E-3</v>
      </c>
      <c r="G38" s="40"/>
      <c r="H38" s="36" t="s">
        <v>119</v>
      </c>
      <c r="I38" s="11">
        <v>6</v>
      </c>
      <c r="J38" s="33">
        <v>6.8027210884353739E-3</v>
      </c>
      <c r="K38" s="40"/>
      <c r="L38" s="40"/>
      <c r="M38" s="40"/>
      <c r="N38" s="79" t="s">
        <v>119</v>
      </c>
      <c r="O38" s="67">
        <v>4</v>
      </c>
      <c r="P38" s="85">
        <f t="shared" si="3"/>
        <v>4.61361014994233E-3</v>
      </c>
      <c r="Q38" s="40"/>
      <c r="S38" s="36" t="s">
        <v>107</v>
      </c>
      <c r="T38" s="11">
        <v>4</v>
      </c>
      <c r="U38" s="33">
        <v>4.3572984749455342E-3</v>
      </c>
      <c r="V38" s="40"/>
      <c r="X38" s="228"/>
      <c r="Y38" s="247" t="s">
        <v>111</v>
      </c>
      <c r="Z38" s="248">
        <v>6</v>
      </c>
      <c r="AA38" s="238">
        <v>6.2370062370062374E-3</v>
      </c>
      <c r="AB38" s="228"/>
      <c r="AD38" s="229"/>
      <c r="AE38" s="247" t="s">
        <v>124</v>
      </c>
      <c r="AF38" s="248">
        <v>6</v>
      </c>
      <c r="AG38" s="238">
        <f t="shared" si="4"/>
        <v>6.2047569803516025E-3</v>
      </c>
      <c r="AH38" s="229"/>
      <c r="AJ38" s="229"/>
      <c r="AK38" s="247" t="s">
        <v>125</v>
      </c>
      <c r="AL38" s="248">
        <v>4</v>
      </c>
      <c r="AM38" s="238">
        <f t="shared" si="1"/>
        <v>4.8134777376654635E-3</v>
      </c>
      <c r="AN38" s="229"/>
      <c r="AP38" s="229"/>
      <c r="AQ38" s="247" t="s">
        <v>143</v>
      </c>
      <c r="AR38" s="248">
        <v>3</v>
      </c>
      <c r="AS38" s="238">
        <f t="shared" si="2"/>
        <v>6.382978723404255E-3</v>
      </c>
      <c r="AT38" s="229"/>
    </row>
    <row r="39" spans="2:46" x14ac:dyDescent="0.25">
      <c r="B39" s="36" t="s">
        <v>125</v>
      </c>
      <c r="C39" s="11">
        <v>5</v>
      </c>
      <c r="D39" s="33">
        <f t="shared" si="0"/>
        <v>5.8275058275058279E-3</v>
      </c>
      <c r="G39" s="40"/>
      <c r="H39" s="36" t="s">
        <v>124</v>
      </c>
      <c r="I39" s="11">
        <v>6</v>
      </c>
      <c r="J39" s="33">
        <v>6.8027210884353739E-3</v>
      </c>
      <c r="K39" s="40"/>
      <c r="L39" s="40"/>
      <c r="M39" s="40"/>
      <c r="N39" s="79" t="s">
        <v>128</v>
      </c>
      <c r="O39" s="67">
        <v>4</v>
      </c>
      <c r="P39" s="85">
        <f t="shared" si="3"/>
        <v>4.61361014994233E-3</v>
      </c>
      <c r="Q39" s="40"/>
      <c r="S39" s="36" t="s">
        <v>135</v>
      </c>
      <c r="T39" s="11">
        <v>4</v>
      </c>
      <c r="U39" s="33">
        <v>4.3572984749455342E-3</v>
      </c>
      <c r="V39" s="40"/>
      <c r="X39" s="228"/>
      <c r="Y39" s="247" t="s">
        <v>124</v>
      </c>
      <c r="Z39" s="248">
        <v>6</v>
      </c>
      <c r="AA39" s="238">
        <v>6.2370062370062374E-3</v>
      </c>
      <c r="AB39" s="228"/>
      <c r="AD39" s="229"/>
      <c r="AE39" s="247" t="s">
        <v>109</v>
      </c>
      <c r="AF39" s="248">
        <v>6</v>
      </c>
      <c r="AG39" s="238">
        <f t="shared" si="4"/>
        <v>6.2047569803516025E-3</v>
      </c>
      <c r="AH39" s="229"/>
      <c r="AJ39" s="229"/>
      <c r="AK39" s="247" t="s">
        <v>122</v>
      </c>
      <c r="AL39" s="248">
        <v>3</v>
      </c>
      <c r="AM39" s="238">
        <f t="shared" si="1"/>
        <v>3.6101083032490976E-3</v>
      </c>
      <c r="AN39" s="229"/>
      <c r="AP39" s="229"/>
      <c r="AQ39" s="247" t="s">
        <v>144</v>
      </c>
      <c r="AR39" s="248">
        <v>3</v>
      </c>
      <c r="AS39" s="238">
        <f t="shared" si="2"/>
        <v>6.382978723404255E-3</v>
      </c>
      <c r="AT39" s="229"/>
    </row>
    <row r="40" spans="2:46" x14ac:dyDescent="0.25">
      <c r="B40" s="36" t="s">
        <v>126</v>
      </c>
      <c r="C40" s="11">
        <v>5</v>
      </c>
      <c r="D40" s="33">
        <f t="shared" si="0"/>
        <v>5.8275058275058279E-3</v>
      </c>
      <c r="G40" s="40"/>
      <c r="H40" s="36" t="s">
        <v>136</v>
      </c>
      <c r="I40" s="11">
        <v>4</v>
      </c>
      <c r="J40" s="33">
        <v>4.5351473922902496E-3</v>
      </c>
      <c r="K40" s="40"/>
      <c r="L40" s="40"/>
      <c r="M40" s="40"/>
      <c r="N40" s="79" t="s">
        <v>145</v>
      </c>
      <c r="O40" s="67">
        <v>3</v>
      </c>
      <c r="P40" s="85">
        <f t="shared" si="3"/>
        <v>3.4602076124567475E-3</v>
      </c>
      <c r="Q40" s="40"/>
      <c r="S40" s="36" t="s">
        <v>119</v>
      </c>
      <c r="T40" s="11">
        <v>4</v>
      </c>
      <c r="U40" s="33">
        <v>4.3572984749455342E-3</v>
      </c>
      <c r="V40" s="40"/>
      <c r="X40" s="228"/>
      <c r="Y40" s="247" t="s">
        <v>113</v>
      </c>
      <c r="Z40" s="248">
        <v>5</v>
      </c>
      <c r="AA40" s="238">
        <v>5.1975051975051978E-3</v>
      </c>
      <c r="AB40" s="228"/>
      <c r="AD40" s="229"/>
      <c r="AE40" s="247" t="s">
        <v>153</v>
      </c>
      <c r="AF40" s="248">
        <v>6</v>
      </c>
      <c r="AG40" s="238">
        <f t="shared" si="4"/>
        <v>6.2047569803516025E-3</v>
      </c>
      <c r="AH40" s="229"/>
      <c r="AJ40" s="229"/>
      <c r="AK40" s="247" t="s">
        <v>114</v>
      </c>
      <c r="AL40" s="248">
        <v>3</v>
      </c>
      <c r="AM40" s="238">
        <f t="shared" si="1"/>
        <v>3.6101083032490976E-3</v>
      </c>
      <c r="AN40" s="229"/>
      <c r="AP40" s="229"/>
      <c r="AQ40" s="247" t="s">
        <v>113</v>
      </c>
      <c r="AR40" s="248">
        <v>3</v>
      </c>
      <c r="AS40" s="238">
        <f t="shared" si="2"/>
        <v>6.382978723404255E-3</v>
      </c>
      <c r="AT40" s="229"/>
    </row>
    <row r="41" spans="2:46" x14ac:dyDescent="0.25">
      <c r="B41" s="36" t="s">
        <v>127</v>
      </c>
      <c r="C41" s="11">
        <v>4</v>
      </c>
      <c r="D41" s="33">
        <f t="shared" si="0"/>
        <v>4.662004662004662E-3</v>
      </c>
      <c r="G41" s="40"/>
      <c r="H41" s="36" t="s">
        <v>122</v>
      </c>
      <c r="I41" s="11">
        <v>4</v>
      </c>
      <c r="J41" s="33">
        <v>4.5351473922902496E-3</v>
      </c>
      <c r="K41" s="40"/>
      <c r="L41" s="40"/>
      <c r="M41" s="40"/>
      <c r="N41" s="79" t="s">
        <v>155</v>
      </c>
      <c r="O41" s="67">
        <v>3</v>
      </c>
      <c r="P41" s="85">
        <f t="shared" si="3"/>
        <v>3.4602076124567475E-3</v>
      </c>
      <c r="Q41" s="40"/>
      <c r="S41" s="36" t="s">
        <v>108</v>
      </c>
      <c r="T41" s="11">
        <v>4</v>
      </c>
      <c r="U41" s="33">
        <v>4.3572984749455342E-3</v>
      </c>
      <c r="V41" s="40"/>
      <c r="X41" s="228"/>
      <c r="Y41" s="247" t="s">
        <v>116</v>
      </c>
      <c r="Z41" s="248">
        <v>5</v>
      </c>
      <c r="AA41" s="238">
        <v>5.1975051975051978E-3</v>
      </c>
      <c r="AB41" s="228"/>
      <c r="AD41" s="229"/>
      <c r="AE41" s="247" t="s">
        <v>121</v>
      </c>
      <c r="AF41" s="248">
        <v>6</v>
      </c>
      <c r="AG41" s="238">
        <f t="shared" si="4"/>
        <v>6.2047569803516025E-3</v>
      </c>
      <c r="AH41" s="229"/>
      <c r="AJ41" s="229"/>
      <c r="AK41" s="247" t="s">
        <v>159</v>
      </c>
      <c r="AL41" s="248">
        <v>3</v>
      </c>
      <c r="AM41" s="238">
        <f t="shared" si="1"/>
        <v>3.6101083032490976E-3</v>
      </c>
      <c r="AN41" s="229"/>
      <c r="AP41" s="229"/>
      <c r="AQ41" s="247" t="s">
        <v>122</v>
      </c>
      <c r="AR41" s="248">
        <v>2</v>
      </c>
      <c r="AS41" s="238">
        <f t="shared" si="2"/>
        <v>4.2553191489361703E-3</v>
      </c>
      <c r="AT41" s="229"/>
    </row>
    <row r="42" spans="2:46" x14ac:dyDescent="0.25">
      <c r="B42" s="36" t="s">
        <v>128</v>
      </c>
      <c r="C42" s="11">
        <v>4</v>
      </c>
      <c r="D42" s="33">
        <f t="shared" si="0"/>
        <v>4.662004662004662E-3</v>
      </c>
      <c r="G42" s="40"/>
      <c r="H42" s="36" t="s">
        <v>147</v>
      </c>
      <c r="I42" s="11">
        <v>4</v>
      </c>
      <c r="J42" s="33">
        <v>4.5351473922902496E-3</v>
      </c>
      <c r="K42" s="40"/>
      <c r="L42" s="40"/>
      <c r="M42" s="40"/>
      <c r="N42" s="79" t="s">
        <v>136</v>
      </c>
      <c r="O42" s="67">
        <v>3</v>
      </c>
      <c r="P42" s="85">
        <f t="shared" si="3"/>
        <v>3.4602076124567475E-3</v>
      </c>
      <c r="Q42" s="40"/>
      <c r="S42" s="36" t="s">
        <v>176</v>
      </c>
      <c r="T42" s="11">
        <v>4</v>
      </c>
      <c r="U42" s="33">
        <v>4.3572984749455342E-3</v>
      </c>
      <c r="V42" s="40"/>
      <c r="X42" s="228"/>
      <c r="Y42" s="247" t="s">
        <v>145</v>
      </c>
      <c r="Z42" s="248">
        <v>5</v>
      </c>
      <c r="AA42" s="238">
        <v>5.1975051975051978E-3</v>
      </c>
      <c r="AB42" s="228"/>
      <c r="AD42" s="229"/>
      <c r="AE42" s="247" t="s">
        <v>136</v>
      </c>
      <c r="AF42" s="248">
        <v>5</v>
      </c>
      <c r="AG42" s="238">
        <f t="shared" si="4"/>
        <v>5.170630816959669E-3</v>
      </c>
      <c r="AH42" s="229"/>
      <c r="AJ42" s="229"/>
      <c r="AK42" s="247" t="s">
        <v>133</v>
      </c>
      <c r="AL42" s="248">
        <v>3</v>
      </c>
      <c r="AM42" s="238">
        <f t="shared" si="1"/>
        <v>3.6101083032490976E-3</v>
      </c>
      <c r="AN42" s="229"/>
      <c r="AP42" s="229"/>
      <c r="AQ42" s="247" t="s">
        <v>114</v>
      </c>
      <c r="AR42" s="248">
        <v>2</v>
      </c>
      <c r="AS42" s="238">
        <f t="shared" si="2"/>
        <v>4.2553191489361703E-3</v>
      </c>
      <c r="AT42" s="229"/>
    </row>
    <row r="43" spans="2:46" x14ac:dyDescent="0.25">
      <c r="B43" s="36" t="s">
        <v>129</v>
      </c>
      <c r="C43" s="11">
        <v>4</v>
      </c>
      <c r="D43" s="33">
        <f t="shared" si="0"/>
        <v>4.662004662004662E-3</v>
      </c>
      <c r="G43" s="40"/>
      <c r="H43" s="36" t="s">
        <v>137</v>
      </c>
      <c r="I43" s="11">
        <v>3</v>
      </c>
      <c r="J43" s="33">
        <v>3.4013605442176869E-3</v>
      </c>
      <c r="K43" s="40"/>
      <c r="L43" s="40"/>
      <c r="M43" s="40"/>
      <c r="N43" s="79" t="s">
        <v>117</v>
      </c>
      <c r="O43" s="67">
        <v>3</v>
      </c>
      <c r="P43" s="85">
        <f t="shared" si="3"/>
        <v>3.4602076124567475E-3</v>
      </c>
      <c r="Q43" s="40"/>
      <c r="S43" s="36" t="s">
        <v>159</v>
      </c>
      <c r="T43" s="11">
        <v>3</v>
      </c>
      <c r="U43" s="33">
        <v>3.2679738562091504E-3</v>
      </c>
      <c r="V43" s="40"/>
      <c r="X43" s="228"/>
      <c r="Y43" s="247" t="s">
        <v>125</v>
      </c>
      <c r="Z43" s="248">
        <v>4</v>
      </c>
      <c r="AA43" s="238">
        <v>4.1580041580041582E-3</v>
      </c>
      <c r="AB43" s="228"/>
      <c r="AD43" s="229"/>
      <c r="AE43" s="247" t="s">
        <v>144</v>
      </c>
      <c r="AF43" s="248">
        <v>4</v>
      </c>
      <c r="AG43" s="238">
        <f t="shared" si="4"/>
        <v>4.1365046535677356E-3</v>
      </c>
      <c r="AH43" s="229"/>
      <c r="AJ43" s="229"/>
      <c r="AK43" s="247" t="s">
        <v>138</v>
      </c>
      <c r="AL43" s="248">
        <v>3</v>
      </c>
      <c r="AM43" s="238">
        <f t="shared" si="1"/>
        <v>3.6101083032490976E-3</v>
      </c>
      <c r="AN43" s="229"/>
      <c r="AP43" s="229"/>
      <c r="AQ43" s="247" t="s">
        <v>137</v>
      </c>
      <c r="AR43" s="248">
        <v>2</v>
      </c>
      <c r="AS43" s="238">
        <f t="shared" si="2"/>
        <v>4.2553191489361703E-3</v>
      </c>
      <c r="AT43" s="229"/>
    </row>
    <row r="44" spans="2:46" x14ac:dyDescent="0.25">
      <c r="B44" s="36" t="s">
        <v>130</v>
      </c>
      <c r="C44" s="11">
        <v>4</v>
      </c>
      <c r="D44" s="33">
        <f t="shared" si="0"/>
        <v>4.662004662004662E-3</v>
      </c>
      <c r="G44" s="40"/>
      <c r="H44" s="36" t="s">
        <v>138</v>
      </c>
      <c r="I44" s="11">
        <v>3</v>
      </c>
      <c r="J44" s="33">
        <v>3.4013605442176869E-3</v>
      </c>
      <c r="K44" s="40"/>
      <c r="L44" s="40"/>
      <c r="M44" s="40"/>
      <c r="N44" s="79" t="s">
        <v>123</v>
      </c>
      <c r="O44" s="67">
        <v>3</v>
      </c>
      <c r="P44" s="85">
        <f t="shared" si="3"/>
        <v>3.4602076124567475E-3</v>
      </c>
      <c r="Q44" s="40"/>
      <c r="S44" s="36" t="s">
        <v>131</v>
      </c>
      <c r="T44" s="11">
        <v>2</v>
      </c>
      <c r="U44" s="33">
        <v>2.1786492374727671E-3</v>
      </c>
      <c r="V44" s="40"/>
      <c r="X44" s="228"/>
      <c r="Y44" s="247" t="s">
        <v>153</v>
      </c>
      <c r="Z44" s="248">
        <v>4</v>
      </c>
      <c r="AA44" s="238">
        <v>4.1580041580041582E-3</v>
      </c>
      <c r="AB44" s="228"/>
      <c r="AD44" s="229"/>
      <c r="AE44" s="247" t="s">
        <v>119</v>
      </c>
      <c r="AF44" s="248">
        <v>4</v>
      </c>
      <c r="AG44" s="238">
        <f t="shared" si="4"/>
        <v>4.1365046535677356E-3</v>
      </c>
      <c r="AH44" s="229"/>
      <c r="AJ44" s="229"/>
      <c r="AK44" s="247" t="s">
        <v>121</v>
      </c>
      <c r="AL44" s="248">
        <v>3</v>
      </c>
      <c r="AM44" s="238">
        <f t="shared" si="1"/>
        <v>3.6101083032490976E-3</v>
      </c>
      <c r="AN44" s="229"/>
      <c r="AP44" s="229"/>
      <c r="AQ44" s="247" t="s">
        <v>132</v>
      </c>
      <c r="AR44" s="248">
        <v>2</v>
      </c>
      <c r="AS44" s="238">
        <f t="shared" si="2"/>
        <v>4.2553191489361703E-3</v>
      </c>
      <c r="AT44" s="229"/>
    </row>
    <row r="45" spans="2:46" x14ac:dyDescent="0.25">
      <c r="B45" s="36" t="s">
        <v>131</v>
      </c>
      <c r="C45" s="11">
        <v>4</v>
      </c>
      <c r="D45" s="33">
        <f t="shared" si="0"/>
        <v>4.662004662004662E-3</v>
      </c>
      <c r="G45" s="40"/>
      <c r="H45" s="36" t="s">
        <v>131</v>
      </c>
      <c r="I45" s="11">
        <v>3</v>
      </c>
      <c r="J45" s="33">
        <v>3.4013605442176869E-3</v>
      </c>
      <c r="K45" s="40"/>
      <c r="L45" s="40"/>
      <c r="M45" s="40"/>
      <c r="N45" s="79" t="s">
        <v>159</v>
      </c>
      <c r="O45" s="67">
        <v>3</v>
      </c>
      <c r="P45" s="85">
        <f t="shared" si="3"/>
        <v>3.4602076124567475E-3</v>
      </c>
      <c r="Q45" s="40"/>
      <c r="S45" s="36" t="s">
        <v>152</v>
      </c>
      <c r="T45" s="11">
        <v>2</v>
      </c>
      <c r="U45" s="33">
        <v>2.1786492374727671E-3</v>
      </c>
      <c r="V45" s="40"/>
      <c r="X45" s="228"/>
      <c r="Y45" s="247" t="s">
        <v>121</v>
      </c>
      <c r="Z45" s="248">
        <v>4</v>
      </c>
      <c r="AA45" s="238">
        <v>4.1580041580041582E-3</v>
      </c>
      <c r="AB45" s="228"/>
      <c r="AD45" s="229"/>
      <c r="AE45" s="247" t="s">
        <v>158</v>
      </c>
      <c r="AF45" s="248">
        <v>4</v>
      </c>
      <c r="AG45" s="238">
        <f t="shared" si="4"/>
        <v>4.1365046535677356E-3</v>
      </c>
      <c r="AH45" s="229"/>
      <c r="AJ45" s="229"/>
      <c r="AK45" s="247" t="s">
        <v>143</v>
      </c>
      <c r="AL45" s="248">
        <v>3</v>
      </c>
      <c r="AM45" s="238">
        <f t="shared" si="1"/>
        <v>3.6101083032490976E-3</v>
      </c>
      <c r="AN45" s="229"/>
      <c r="AP45" s="229"/>
      <c r="AQ45" s="247" t="s">
        <v>106</v>
      </c>
      <c r="AR45" s="248">
        <v>2</v>
      </c>
      <c r="AS45" s="238">
        <f t="shared" si="2"/>
        <v>4.2553191489361703E-3</v>
      </c>
      <c r="AT45" s="229"/>
    </row>
    <row r="46" spans="2:46" x14ac:dyDescent="0.25">
      <c r="B46" s="36" t="s">
        <v>132</v>
      </c>
      <c r="C46" s="11">
        <v>3</v>
      </c>
      <c r="D46" s="33">
        <f t="shared" si="0"/>
        <v>3.4965034965034965E-3</v>
      </c>
      <c r="G46" s="40"/>
      <c r="H46" s="36" t="s">
        <v>121</v>
      </c>
      <c r="I46" s="11">
        <v>3</v>
      </c>
      <c r="J46" s="33">
        <v>3.4013605442176869E-3</v>
      </c>
      <c r="K46" s="40"/>
      <c r="L46" s="40"/>
      <c r="M46" s="40"/>
      <c r="N46" s="79" t="s">
        <v>157</v>
      </c>
      <c r="O46" s="67">
        <v>3</v>
      </c>
      <c r="P46" s="85">
        <f t="shared" si="3"/>
        <v>3.4602076124567475E-3</v>
      </c>
      <c r="Q46" s="40"/>
      <c r="S46" s="36" t="s">
        <v>153</v>
      </c>
      <c r="T46" s="11">
        <v>2</v>
      </c>
      <c r="U46" s="33">
        <v>2.1786492374727671E-3</v>
      </c>
      <c r="V46" s="40"/>
      <c r="X46" s="228"/>
      <c r="Y46" s="247" t="s">
        <v>159</v>
      </c>
      <c r="Z46" s="248">
        <v>4</v>
      </c>
      <c r="AA46" s="238">
        <v>4.1580041580041582E-3</v>
      </c>
      <c r="AB46" s="228"/>
      <c r="AD46" s="229"/>
      <c r="AE46" s="247" t="s">
        <v>172</v>
      </c>
      <c r="AF46" s="248">
        <v>3</v>
      </c>
      <c r="AG46" s="238">
        <f t="shared" si="4"/>
        <v>3.1023784901758012E-3</v>
      </c>
      <c r="AH46" s="229"/>
      <c r="AJ46" s="229"/>
      <c r="AK46" s="247" t="s">
        <v>144</v>
      </c>
      <c r="AL46" s="248">
        <v>3</v>
      </c>
      <c r="AM46" s="238">
        <f t="shared" si="1"/>
        <v>3.6101083032490976E-3</v>
      </c>
      <c r="AN46" s="229"/>
      <c r="AP46" s="229"/>
      <c r="AQ46" s="247" t="s">
        <v>118</v>
      </c>
      <c r="AR46" s="248">
        <v>2</v>
      </c>
      <c r="AS46" s="238">
        <f t="shared" si="2"/>
        <v>4.2553191489361703E-3</v>
      </c>
      <c r="AT46" s="229"/>
    </row>
    <row r="47" spans="2:46" x14ac:dyDescent="0.25">
      <c r="B47" s="36" t="s">
        <v>133</v>
      </c>
      <c r="C47" s="11">
        <v>3</v>
      </c>
      <c r="D47" s="33">
        <f t="shared" si="0"/>
        <v>3.4965034965034965E-3</v>
      </c>
      <c r="G47" s="40"/>
      <c r="H47" s="36" t="s">
        <v>143</v>
      </c>
      <c r="I47" s="11">
        <v>3</v>
      </c>
      <c r="J47" s="33">
        <v>3.4013605442176869E-3</v>
      </c>
      <c r="K47" s="40"/>
      <c r="L47" s="40"/>
      <c r="M47" s="40"/>
      <c r="N47" s="79" t="s">
        <v>152</v>
      </c>
      <c r="O47" s="67">
        <v>3</v>
      </c>
      <c r="P47" s="85">
        <f t="shared" si="3"/>
        <v>3.4602076124567475E-3</v>
      </c>
      <c r="Q47" s="40"/>
      <c r="S47" s="36" t="s">
        <v>155</v>
      </c>
      <c r="T47" s="11">
        <v>2</v>
      </c>
      <c r="U47" s="33">
        <v>2.1786492374727671E-3</v>
      </c>
      <c r="V47" s="40"/>
      <c r="X47" s="228"/>
      <c r="Y47" s="247" t="s">
        <v>152</v>
      </c>
      <c r="Z47" s="248">
        <v>4</v>
      </c>
      <c r="AA47" s="238">
        <v>4.1580041580041582E-3</v>
      </c>
      <c r="AB47" s="228"/>
      <c r="AD47" s="229"/>
      <c r="AE47" s="247" t="s">
        <v>149</v>
      </c>
      <c r="AF47" s="248">
        <v>3</v>
      </c>
      <c r="AG47" s="238">
        <f t="shared" si="4"/>
        <v>3.1023784901758012E-3</v>
      </c>
      <c r="AH47" s="229"/>
      <c r="AJ47" s="229"/>
      <c r="AK47" s="247" t="s">
        <v>150</v>
      </c>
      <c r="AL47" s="248">
        <v>2</v>
      </c>
      <c r="AM47" s="238">
        <f t="shared" si="1"/>
        <v>2.4067388688327317E-3</v>
      </c>
      <c r="AN47" s="229"/>
      <c r="AP47" s="229"/>
      <c r="AQ47" s="247" t="s">
        <v>125</v>
      </c>
      <c r="AR47" s="248">
        <v>2</v>
      </c>
      <c r="AS47" s="238">
        <f t="shared" si="2"/>
        <v>4.2553191489361703E-3</v>
      </c>
      <c r="AT47" s="229"/>
    </row>
    <row r="48" spans="2:46" x14ac:dyDescent="0.25">
      <c r="B48" s="36" t="s">
        <v>134</v>
      </c>
      <c r="C48" s="11">
        <v>3</v>
      </c>
      <c r="D48" s="33">
        <f t="shared" si="0"/>
        <v>3.4965034965034965E-3</v>
      </c>
      <c r="G48" s="40"/>
      <c r="H48" s="36" t="s">
        <v>157</v>
      </c>
      <c r="I48" s="11">
        <v>3</v>
      </c>
      <c r="J48" s="33">
        <v>3.4013605442176869E-3</v>
      </c>
      <c r="K48" s="40"/>
      <c r="L48" s="40"/>
      <c r="M48" s="40"/>
      <c r="N48" s="79" t="s">
        <v>122</v>
      </c>
      <c r="O48" s="67">
        <v>2</v>
      </c>
      <c r="P48" s="85">
        <f t="shared" si="3"/>
        <v>2.306805074971165E-3</v>
      </c>
      <c r="Q48" s="40"/>
      <c r="S48" s="36" t="s">
        <v>133</v>
      </c>
      <c r="T48" s="11">
        <v>2</v>
      </c>
      <c r="U48" s="33">
        <v>2.1786492374727671E-3</v>
      </c>
      <c r="V48" s="40"/>
      <c r="X48" s="228"/>
      <c r="Y48" s="247" t="s">
        <v>122</v>
      </c>
      <c r="Z48" s="248">
        <v>3</v>
      </c>
      <c r="AA48" s="238">
        <v>3.1185031185031187E-3</v>
      </c>
      <c r="AB48" s="228"/>
      <c r="AD48" s="229"/>
      <c r="AE48" s="247" t="s">
        <v>142</v>
      </c>
      <c r="AF48" s="248">
        <v>3</v>
      </c>
      <c r="AG48" s="238">
        <f t="shared" si="4"/>
        <v>3.1023784901758012E-3</v>
      </c>
      <c r="AH48" s="229"/>
      <c r="AJ48" s="229"/>
      <c r="AK48" s="247" t="s">
        <v>117</v>
      </c>
      <c r="AL48" s="248">
        <v>2</v>
      </c>
      <c r="AM48" s="238">
        <f t="shared" si="1"/>
        <v>2.4067388688327317E-3</v>
      </c>
      <c r="AN48" s="229"/>
      <c r="AP48" s="229"/>
      <c r="AQ48" s="247" t="s">
        <v>142</v>
      </c>
      <c r="AR48" s="248">
        <v>2</v>
      </c>
      <c r="AS48" s="238">
        <f t="shared" si="2"/>
        <v>4.2553191489361703E-3</v>
      </c>
      <c r="AT48" s="229"/>
    </row>
    <row r="49" spans="2:46" x14ac:dyDescent="0.25">
      <c r="B49" s="36" t="s">
        <v>135</v>
      </c>
      <c r="C49" s="11">
        <v>3</v>
      </c>
      <c r="D49" s="33">
        <f t="shared" si="0"/>
        <v>3.4965034965034965E-3</v>
      </c>
      <c r="G49" s="40"/>
      <c r="H49" s="36" t="s">
        <v>155</v>
      </c>
      <c r="I49" s="11">
        <v>2</v>
      </c>
      <c r="J49" s="33">
        <v>2.2675736961451248E-3</v>
      </c>
      <c r="K49" s="40"/>
      <c r="L49" s="40"/>
      <c r="M49" s="40"/>
      <c r="N49" s="79" t="s">
        <v>143</v>
      </c>
      <c r="O49" s="67">
        <v>2</v>
      </c>
      <c r="P49" s="85">
        <f t="shared" si="3"/>
        <v>2.306805074971165E-3</v>
      </c>
      <c r="Q49" s="40"/>
      <c r="S49" s="36" t="s">
        <v>150</v>
      </c>
      <c r="T49" s="11">
        <v>2</v>
      </c>
      <c r="U49" s="33">
        <v>2.1786492374727671E-3</v>
      </c>
      <c r="V49" s="40"/>
      <c r="X49" s="228"/>
      <c r="Y49" s="247" t="s">
        <v>150</v>
      </c>
      <c r="Z49" s="248">
        <v>2</v>
      </c>
      <c r="AA49" s="238">
        <v>2.0790020790020791E-3</v>
      </c>
      <c r="AB49" s="228"/>
      <c r="AD49" s="229"/>
      <c r="AE49" s="247" t="s">
        <v>128</v>
      </c>
      <c r="AF49" s="248">
        <v>3</v>
      </c>
      <c r="AG49" s="238">
        <f t="shared" si="4"/>
        <v>3.1023784901758012E-3</v>
      </c>
      <c r="AH49" s="229"/>
      <c r="AJ49" s="229"/>
      <c r="AK49" s="247" t="s">
        <v>147</v>
      </c>
      <c r="AL49" s="248">
        <v>2</v>
      </c>
      <c r="AM49" s="238">
        <f t="shared" si="1"/>
        <v>2.4067388688327317E-3</v>
      </c>
      <c r="AN49" s="229"/>
      <c r="AP49" s="229"/>
      <c r="AQ49" s="247" t="s">
        <v>159</v>
      </c>
      <c r="AR49" s="248">
        <v>2</v>
      </c>
      <c r="AS49" s="238">
        <f t="shared" si="2"/>
        <v>4.2553191489361703E-3</v>
      </c>
      <c r="AT49" s="229"/>
    </row>
    <row r="50" spans="2:46" x14ac:dyDescent="0.25">
      <c r="B50" s="36" t="s">
        <v>136</v>
      </c>
      <c r="C50" s="11">
        <v>2</v>
      </c>
      <c r="D50" s="33">
        <f t="shared" si="0"/>
        <v>2.331002331002331E-3</v>
      </c>
      <c r="G50" s="40"/>
      <c r="H50" s="36" t="s">
        <v>150</v>
      </c>
      <c r="I50" s="11">
        <v>2</v>
      </c>
      <c r="J50" s="33">
        <v>2.2675736961451248E-3</v>
      </c>
      <c r="K50" s="40"/>
      <c r="L50" s="40"/>
      <c r="M50" s="40"/>
      <c r="N50" s="79" t="s">
        <v>135</v>
      </c>
      <c r="O50" s="67">
        <v>2</v>
      </c>
      <c r="P50" s="85">
        <f t="shared" si="3"/>
        <v>2.306805074971165E-3</v>
      </c>
      <c r="Q50" s="40"/>
      <c r="S50" s="36" t="s">
        <v>157</v>
      </c>
      <c r="T50" s="11">
        <v>2</v>
      </c>
      <c r="U50" s="33">
        <v>2.1786492374727671E-3</v>
      </c>
      <c r="V50" s="40"/>
      <c r="X50" s="228"/>
      <c r="Y50" s="247" t="s">
        <v>134</v>
      </c>
      <c r="Z50" s="248">
        <v>2</v>
      </c>
      <c r="AA50" s="238">
        <v>2.0790020790020791E-3</v>
      </c>
      <c r="AB50" s="228"/>
      <c r="AD50" s="229"/>
      <c r="AE50" s="247" t="s">
        <v>122</v>
      </c>
      <c r="AF50" s="248">
        <v>3</v>
      </c>
      <c r="AG50" s="238">
        <f t="shared" si="4"/>
        <v>3.1023784901758012E-3</v>
      </c>
      <c r="AH50" s="229"/>
      <c r="AJ50" s="229"/>
      <c r="AK50" s="247" t="s">
        <v>142</v>
      </c>
      <c r="AL50" s="248">
        <v>2</v>
      </c>
      <c r="AM50" s="238">
        <f t="shared" si="1"/>
        <v>2.4067388688327317E-3</v>
      </c>
      <c r="AN50" s="229"/>
      <c r="AP50" s="229"/>
      <c r="AQ50" s="247" t="s">
        <v>133</v>
      </c>
      <c r="AR50" s="248">
        <v>2</v>
      </c>
      <c r="AS50" s="238">
        <f t="shared" si="2"/>
        <v>4.2553191489361703E-3</v>
      </c>
      <c r="AT50" s="229"/>
    </row>
    <row r="51" spans="2:46" x14ac:dyDescent="0.25">
      <c r="B51" s="36" t="s">
        <v>137</v>
      </c>
      <c r="C51" s="11">
        <v>2</v>
      </c>
      <c r="D51" s="33">
        <f t="shared" si="0"/>
        <v>2.331002331002331E-3</v>
      </c>
      <c r="G51" s="40"/>
      <c r="H51" s="36" t="s">
        <v>135</v>
      </c>
      <c r="I51" s="11">
        <v>2</v>
      </c>
      <c r="J51" s="33">
        <v>2.2675736961451248E-3</v>
      </c>
      <c r="K51" s="40"/>
      <c r="L51" s="40"/>
      <c r="M51" s="40"/>
      <c r="N51" s="79" t="s">
        <v>134</v>
      </c>
      <c r="O51" s="67">
        <v>2</v>
      </c>
      <c r="P51" s="85">
        <f t="shared" si="3"/>
        <v>2.306805074971165E-3</v>
      </c>
      <c r="Q51" s="40"/>
      <c r="S51" s="36" t="s">
        <v>172</v>
      </c>
      <c r="T51" s="11">
        <v>1</v>
      </c>
      <c r="U51" s="33">
        <v>1.0893246187363835E-3</v>
      </c>
      <c r="V51" s="40"/>
      <c r="X51" s="228"/>
      <c r="Y51" s="247" t="s">
        <v>137</v>
      </c>
      <c r="Z51" s="248">
        <v>2</v>
      </c>
      <c r="AA51" s="238">
        <v>2.0790020790020791E-3</v>
      </c>
      <c r="AB51" s="228"/>
      <c r="AD51" s="229"/>
      <c r="AE51" s="247" t="s">
        <v>161</v>
      </c>
      <c r="AF51" s="248">
        <v>2</v>
      </c>
      <c r="AG51" s="238">
        <f t="shared" si="4"/>
        <v>2.0682523267838678E-3</v>
      </c>
      <c r="AH51" s="229"/>
      <c r="AJ51" s="229"/>
      <c r="AK51" s="247" t="s">
        <v>149</v>
      </c>
      <c r="AL51" s="248">
        <v>2</v>
      </c>
      <c r="AM51" s="238">
        <f t="shared" si="1"/>
        <v>2.4067388688327317E-3</v>
      </c>
      <c r="AN51" s="229"/>
      <c r="AP51" s="229"/>
      <c r="AQ51" s="247" t="s">
        <v>131</v>
      </c>
      <c r="AR51" s="248">
        <v>1</v>
      </c>
      <c r="AS51" s="238">
        <f t="shared" si="2"/>
        <v>2.1276595744680851E-3</v>
      </c>
      <c r="AT51" s="229"/>
    </row>
    <row r="52" spans="2:46" x14ac:dyDescent="0.25">
      <c r="B52" s="36" t="s">
        <v>138</v>
      </c>
      <c r="C52" s="11">
        <v>2</v>
      </c>
      <c r="D52" s="33">
        <f t="shared" si="0"/>
        <v>2.331002331002331E-3</v>
      </c>
      <c r="G52" s="40"/>
      <c r="H52" s="36" t="s">
        <v>149</v>
      </c>
      <c r="I52" s="11">
        <v>2</v>
      </c>
      <c r="J52" s="33">
        <v>2.2675736961451248E-3</v>
      </c>
      <c r="K52" s="40"/>
      <c r="L52" s="40"/>
      <c r="M52" s="40"/>
      <c r="N52" s="79" t="s">
        <v>158</v>
      </c>
      <c r="O52" s="67">
        <v>2</v>
      </c>
      <c r="P52" s="85">
        <f t="shared" si="3"/>
        <v>2.306805074971165E-3</v>
      </c>
      <c r="Q52" s="40"/>
      <c r="S52" s="36" t="s">
        <v>141</v>
      </c>
      <c r="T52" s="11">
        <v>1</v>
      </c>
      <c r="U52" s="33">
        <v>1.0893246187363835E-3</v>
      </c>
      <c r="V52" s="40"/>
      <c r="X52" s="228"/>
      <c r="Y52" s="247" t="s">
        <v>151</v>
      </c>
      <c r="Z52" s="248">
        <v>2</v>
      </c>
      <c r="AA52" s="238">
        <v>2.0790020790020791E-3</v>
      </c>
      <c r="AB52" s="228"/>
      <c r="AD52" s="229"/>
      <c r="AE52" s="247" t="s">
        <v>148</v>
      </c>
      <c r="AF52" s="248">
        <v>2</v>
      </c>
      <c r="AG52" s="238">
        <f t="shared" si="4"/>
        <v>2.0682523267838678E-3</v>
      </c>
      <c r="AH52" s="229"/>
      <c r="AJ52" s="229"/>
      <c r="AK52" s="247" t="s">
        <v>136</v>
      </c>
      <c r="AL52" s="248">
        <v>2</v>
      </c>
      <c r="AM52" s="238">
        <f t="shared" si="1"/>
        <v>2.4067388688327317E-3</v>
      </c>
      <c r="AN52" s="229"/>
      <c r="AP52" s="229"/>
      <c r="AQ52" s="247" t="s">
        <v>138</v>
      </c>
      <c r="AR52" s="248">
        <v>1</v>
      </c>
      <c r="AS52" s="238">
        <f t="shared" si="2"/>
        <v>2.1276595744680851E-3</v>
      </c>
      <c r="AT52" s="229"/>
    </row>
    <row r="53" spans="2:46" x14ac:dyDescent="0.25">
      <c r="B53" s="36" t="s">
        <v>139</v>
      </c>
      <c r="C53" s="11">
        <v>1</v>
      </c>
      <c r="D53" s="33">
        <f t="shared" si="0"/>
        <v>1.1655011655011655E-3</v>
      </c>
      <c r="G53" s="40"/>
      <c r="H53" s="36" t="s">
        <v>140</v>
      </c>
      <c r="I53" s="11">
        <v>2</v>
      </c>
      <c r="J53" s="33">
        <v>2.2675736961451248E-3</v>
      </c>
      <c r="K53" s="40"/>
      <c r="L53" s="40"/>
      <c r="M53" s="40"/>
      <c r="N53" s="79" t="s">
        <v>127</v>
      </c>
      <c r="O53" s="67">
        <v>2</v>
      </c>
      <c r="P53" s="85">
        <f t="shared" si="3"/>
        <v>2.306805074971165E-3</v>
      </c>
      <c r="Q53" s="40"/>
      <c r="S53" s="36" t="s">
        <v>123</v>
      </c>
      <c r="T53" s="11">
        <v>1</v>
      </c>
      <c r="U53" s="33">
        <v>1.0893246187363835E-3</v>
      </c>
      <c r="V53" s="40"/>
      <c r="X53" s="228"/>
      <c r="Y53" s="247" t="s">
        <v>119</v>
      </c>
      <c r="Z53" s="248">
        <v>2</v>
      </c>
      <c r="AA53" s="238">
        <v>2.0790020790020791E-3</v>
      </c>
      <c r="AB53" s="228"/>
      <c r="AD53" s="229"/>
      <c r="AE53" s="247" t="s">
        <v>137</v>
      </c>
      <c r="AF53" s="248">
        <v>2</v>
      </c>
      <c r="AG53" s="238">
        <f t="shared" si="4"/>
        <v>2.0682523267838678E-3</v>
      </c>
      <c r="AH53" s="229"/>
      <c r="AJ53" s="229"/>
      <c r="AK53" s="247" t="s">
        <v>152</v>
      </c>
      <c r="AL53" s="248">
        <v>2</v>
      </c>
      <c r="AM53" s="238">
        <f t="shared" si="1"/>
        <v>2.4067388688327317E-3</v>
      </c>
      <c r="AN53" s="229"/>
      <c r="AP53" s="229"/>
      <c r="AQ53" s="247" t="s">
        <v>119</v>
      </c>
      <c r="AR53" s="248">
        <v>1</v>
      </c>
      <c r="AS53" s="238">
        <f t="shared" si="2"/>
        <v>2.1276595744680851E-3</v>
      </c>
      <c r="AT53" s="229"/>
    </row>
    <row r="54" spans="2:46" x14ac:dyDescent="0.25">
      <c r="B54" s="36" t="s">
        <v>140</v>
      </c>
      <c r="C54" s="11">
        <v>1</v>
      </c>
      <c r="D54" s="33">
        <f t="shared" si="0"/>
        <v>1.1655011655011655E-3</v>
      </c>
      <c r="G54" s="40"/>
      <c r="H54" s="36" t="s">
        <v>158</v>
      </c>
      <c r="I54" s="11">
        <v>2</v>
      </c>
      <c r="J54" s="33">
        <v>2.2675736961451248E-3</v>
      </c>
      <c r="K54" s="40"/>
      <c r="L54" s="40"/>
      <c r="M54" s="40"/>
      <c r="N54" s="79" t="s">
        <v>106</v>
      </c>
      <c r="O54" s="67">
        <v>2</v>
      </c>
      <c r="P54" s="85">
        <f t="shared" si="3"/>
        <v>2.306805074971165E-3</v>
      </c>
      <c r="Q54" s="40"/>
      <c r="S54" s="36" t="s">
        <v>132</v>
      </c>
      <c r="T54" s="11">
        <v>1</v>
      </c>
      <c r="U54" s="33">
        <v>1.0893246187363835E-3</v>
      </c>
      <c r="V54" s="40"/>
      <c r="X54" s="228"/>
      <c r="Y54" s="247" t="s">
        <v>336</v>
      </c>
      <c r="Z54" s="248">
        <v>2</v>
      </c>
      <c r="AA54" s="238">
        <v>2.0790020790020791E-3</v>
      </c>
      <c r="AB54" s="228"/>
      <c r="AD54" s="229"/>
      <c r="AE54" s="247" t="s">
        <v>115</v>
      </c>
      <c r="AF54" s="248">
        <v>2</v>
      </c>
      <c r="AG54" s="238">
        <f t="shared" si="4"/>
        <v>2.0682523267838678E-3</v>
      </c>
      <c r="AH54" s="229"/>
      <c r="AJ54" s="229"/>
      <c r="AK54" s="247" t="s">
        <v>119</v>
      </c>
      <c r="AL54" s="248">
        <v>1</v>
      </c>
      <c r="AM54" s="238">
        <f t="shared" si="1"/>
        <v>1.2033694344163659E-3</v>
      </c>
      <c r="AN54" s="229"/>
      <c r="AP54" s="229"/>
      <c r="AQ54" s="247" t="s">
        <v>152</v>
      </c>
      <c r="AR54" s="248">
        <v>1</v>
      </c>
      <c r="AS54" s="238">
        <f t="shared" si="2"/>
        <v>2.1276595744680851E-3</v>
      </c>
      <c r="AT54" s="229"/>
    </row>
    <row r="55" spans="2:46" x14ac:dyDescent="0.25">
      <c r="B55" s="36" t="s">
        <v>141</v>
      </c>
      <c r="C55" s="11">
        <v>1</v>
      </c>
      <c r="D55" s="33">
        <f t="shared" si="0"/>
        <v>1.1655011655011655E-3</v>
      </c>
      <c r="G55" s="40"/>
      <c r="H55" s="36" t="s">
        <v>145</v>
      </c>
      <c r="I55" s="11">
        <v>2</v>
      </c>
      <c r="J55" s="33">
        <v>2.2675736961451248E-3</v>
      </c>
      <c r="K55" s="40"/>
      <c r="L55" s="40"/>
      <c r="M55" s="40"/>
      <c r="N55" s="79" t="s">
        <v>131</v>
      </c>
      <c r="O55" s="67">
        <v>2</v>
      </c>
      <c r="P55" s="85">
        <f t="shared" si="3"/>
        <v>2.306805074971165E-3</v>
      </c>
      <c r="Q55" s="40"/>
      <c r="S55" s="36" t="s">
        <v>161</v>
      </c>
      <c r="T55" s="11">
        <v>1</v>
      </c>
      <c r="U55" s="33">
        <v>1.0893246187363835E-3</v>
      </c>
      <c r="V55" s="40"/>
      <c r="X55" s="228"/>
      <c r="Y55" s="247" t="s">
        <v>133</v>
      </c>
      <c r="Z55" s="248">
        <v>2</v>
      </c>
      <c r="AA55" s="238">
        <v>2.0790020790020791E-3</v>
      </c>
      <c r="AB55" s="228"/>
      <c r="AD55" s="229"/>
      <c r="AE55" s="247" t="s">
        <v>160</v>
      </c>
      <c r="AF55" s="248">
        <v>2</v>
      </c>
      <c r="AG55" s="238">
        <f t="shared" si="4"/>
        <v>2.0682523267838678E-3</v>
      </c>
      <c r="AH55" s="229"/>
      <c r="AJ55" s="229"/>
      <c r="AK55" s="247" t="s">
        <v>126</v>
      </c>
      <c r="AL55" s="248">
        <v>1</v>
      </c>
      <c r="AM55" s="238">
        <f t="shared" si="1"/>
        <v>1.2033694344163659E-3</v>
      </c>
      <c r="AN55" s="229"/>
      <c r="AP55" s="229"/>
      <c r="AQ55" s="247" t="s">
        <v>148</v>
      </c>
      <c r="AR55" s="248">
        <v>1</v>
      </c>
      <c r="AS55" s="238">
        <f t="shared" si="2"/>
        <v>2.1276595744680851E-3</v>
      </c>
      <c r="AT55" s="229"/>
    </row>
    <row r="56" spans="2:46" x14ac:dyDescent="0.25">
      <c r="B56" s="36" t="s">
        <v>142</v>
      </c>
      <c r="C56" s="11">
        <v>1</v>
      </c>
      <c r="D56" s="33">
        <f t="shared" si="0"/>
        <v>1.1655011655011655E-3</v>
      </c>
      <c r="G56" s="40"/>
      <c r="H56" s="36" t="s">
        <v>159</v>
      </c>
      <c r="I56" s="11">
        <v>2</v>
      </c>
      <c r="J56" s="33">
        <v>2.2675736961451248E-3</v>
      </c>
      <c r="K56" s="40"/>
      <c r="L56" s="40"/>
      <c r="M56" s="40"/>
      <c r="N56" s="79" t="s">
        <v>121</v>
      </c>
      <c r="O56" s="67">
        <v>2</v>
      </c>
      <c r="P56" s="85">
        <f t="shared" si="3"/>
        <v>2.306805074971165E-3</v>
      </c>
      <c r="Q56" s="40"/>
      <c r="S56" s="36" t="s">
        <v>177</v>
      </c>
      <c r="T56" s="11">
        <v>1</v>
      </c>
      <c r="U56" s="33">
        <v>1.0893246187363835E-3</v>
      </c>
      <c r="V56" s="40"/>
      <c r="X56" s="228"/>
      <c r="Y56" s="247" t="s">
        <v>131</v>
      </c>
      <c r="Z56" s="248">
        <v>2</v>
      </c>
      <c r="AA56" s="238">
        <v>2.0790020790020791E-3</v>
      </c>
      <c r="AB56" s="228"/>
      <c r="AD56" s="229"/>
      <c r="AE56" s="247" t="s">
        <v>152</v>
      </c>
      <c r="AF56" s="248">
        <v>2</v>
      </c>
      <c r="AG56" s="238">
        <f t="shared" si="4"/>
        <v>2.0682523267838678E-3</v>
      </c>
      <c r="AH56" s="229"/>
      <c r="AJ56" s="229"/>
      <c r="AK56" s="247" t="s">
        <v>161</v>
      </c>
      <c r="AL56" s="248">
        <v>1</v>
      </c>
      <c r="AM56" s="238">
        <f t="shared" si="1"/>
        <v>1.2033694344163659E-3</v>
      </c>
      <c r="AN56" s="229"/>
      <c r="AP56" s="229"/>
      <c r="AQ56" s="247" t="s">
        <v>155</v>
      </c>
      <c r="AR56" s="248">
        <v>1</v>
      </c>
      <c r="AS56" s="238">
        <f t="shared" si="2"/>
        <v>2.1276595744680851E-3</v>
      </c>
      <c r="AT56" s="229"/>
    </row>
    <row r="57" spans="2:46" x14ac:dyDescent="0.25">
      <c r="B57" s="36" t="s">
        <v>143</v>
      </c>
      <c r="C57" s="11">
        <v>1</v>
      </c>
      <c r="D57" s="33">
        <f t="shared" si="0"/>
        <v>1.1655011655011655E-3</v>
      </c>
      <c r="G57" s="40"/>
      <c r="H57" s="36" t="s">
        <v>153</v>
      </c>
      <c r="I57" s="11">
        <v>1</v>
      </c>
      <c r="J57" s="33">
        <v>1.1337868480725624E-3</v>
      </c>
      <c r="K57" s="40"/>
      <c r="L57" s="40"/>
      <c r="M57" s="40"/>
      <c r="N57" s="79" t="s">
        <v>149</v>
      </c>
      <c r="O57" s="67">
        <v>2</v>
      </c>
      <c r="P57" s="85">
        <f t="shared" si="3"/>
        <v>2.306805074971165E-3</v>
      </c>
      <c r="Q57" s="40"/>
      <c r="S57" s="36" t="s">
        <v>122</v>
      </c>
      <c r="T57" s="11">
        <v>1</v>
      </c>
      <c r="U57" s="33">
        <v>1.0893246187363835E-3</v>
      </c>
      <c r="V57" s="40"/>
      <c r="X57" s="228"/>
      <c r="Y57" s="247" t="s">
        <v>161</v>
      </c>
      <c r="Z57" s="248">
        <v>2</v>
      </c>
      <c r="AA57" s="238">
        <v>2.0790020790020791E-3</v>
      </c>
      <c r="AB57" s="228"/>
      <c r="AD57" s="229"/>
      <c r="AE57" s="247" t="s">
        <v>127</v>
      </c>
      <c r="AF57" s="248">
        <v>1</v>
      </c>
      <c r="AG57" s="238">
        <f t="shared" si="4"/>
        <v>1.0341261633919339E-3</v>
      </c>
      <c r="AH57" s="229"/>
      <c r="AJ57" s="229"/>
      <c r="AK57" s="247" t="s">
        <v>160</v>
      </c>
      <c r="AL57" s="248">
        <v>1</v>
      </c>
      <c r="AM57" s="238">
        <f t="shared" si="1"/>
        <v>1.2033694344163659E-3</v>
      </c>
      <c r="AN57" s="229"/>
      <c r="AP57" s="229"/>
      <c r="AQ57" s="247" t="s">
        <v>129</v>
      </c>
      <c r="AR57" s="248">
        <v>1</v>
      </c>
      <c r="AS57" s="238">
        <f t="shared" si="2"/>
        <v>2.1276595744680851E-3</v>
      </c>
      <c r="AT57" s="229"/>
    </row>
    <row r="58" spans="2:46" x14ac:dyDescent="0.25">
      <c r="B58" s="36" t="s">
        <v>144</v>
      </c>
      <c r="C58" s="11">
        <v>1</v>
      </c>
      <c r="D58" s="33">
        <f t="shared" si="0"/>
        <v>1.1655011655011655E-3</v>
      </c>
      <c r="G58" s="40"/>
      <c r="H58" s="36" t="s">
        <v>141</v>
      </c>
      <c r="I58" s="11">
        <v>1</v>
      </c>
      <c r="J58" s="33">
        <v>1.1337868480725624E-3</v>
      </c>
      <c r="K58" s="40"/>
      <c r="L58" s="40"/>
      <c r="M58" s="40"/>
      <c r="N58" s="79" t="s">
        <v>140</v>
      </c>
      <c r="O58" s="67">
        <v>2</v>
      </c>
      <c r="P58" s="85">
        <f t="shared" si="3"/>
        <v>2.306805074971165E-3</v>
      </c>
      <c r="Q58" s="40"/>
      <c r="S58" s="36" t="s">
        <v>134</v>
      </c>
      <c r="T58" s="11">
        <v>1</v>
      </c>
      <c r="U58" s="33">
        <v>1.0893246187363835E-3</v>
      </c>
      <c r="V58" s="40"/>
      <c r="X58" s="228"/>
      <c r="Y58" s="247" t="s">
        <v>157</v>
      </c>
      <c r="Z58" s="248">
        <v>1</v>
      </c>
      <c r="AA58" s="238">
        <v>1.0395010395010396E-3</v>
      </c>
      <c r="AB58" s="228"/>
      <c r="AD58" s="229"/>
      <c r="AE58" s="247" t="s">
        <v>134</v>
      </c>
      <c r="AF58" s="248">
        <v>1</v>
      </c>
      <c r="AG58" s="238">
        <f t="shared" si="4"/>
        <v>1.0341261633919339E-3</v>
      </c>
      <c r="AH58" s="229"/>
      <c r="AJ58" s="229"/>
      <c r="AK58" s="247" t="s">
        <v>127</v>
      </c>
      <c r="AL58" s="248">
        <v>1</v>
      </c>
      <c r="AM58" s="238">
        <f t="shared" si="1"/>
        <v>1.2033694344163659E-3</v>
      </c>
      <c r="AN58" s="229"/>
      <c r="AP58" s="229"/>
      <c r="AQ58" s="247" t="s">
        <v>127</v>
      </c>
      <c r="AR58" s="248">
        <v>1</v>
      </c>
      <c r="AS58" s="238">
        <f t="shared" si="2"/>
        <v>2.1276595744680851E-3</v>
      </c>
      <c r="AT58" s="229"/>
    </row>
    <row r="59" spans="2:46" x14ac:dyDescent="0.25">
      <c r="B59" s="36" t="s">
        <v>145</v>
      </c>
      <c r="C59" s="11">
        <v>1</v>
      </c>
      <c r="D59" s="33">
        <f t="shared" si="0"/>
        <v>1.1655011655011655E-3</v>
      </c>
      <c r="G59" s="40"/>
      <c r="H59" s="36" t="s">
        <v>133</v>
      </c>
      <c r="I59" s="11">
        <v>1</v>
      </c>
      <c r="J59" s="33">
        <v>1.1337868480725624E-3</v>
      </c>
      <c r="K59" s="40"/>
      <c r="L59" s="40"/>
      <c r="M59" s="40"/>
      <c r="N59" s="79" t="s">
        <v>142</v>
      </c>
      <c r="O59" s="67">
        <v>1</v>
      </c>
      <c r="P59" s="85">
        <f t="shared" si="3"/>
        <v>1.1534025374855825E-3</v>
      </c>
      <c r="Q59" s="40"/>
      <c r="S59" s="36" t="s">
        <v>178</v>
      </c>
      <c r="T59" s="11">
        <v>1</v>
      </c>
      <c r="U59" s="33">
        <v>1.0893246187363835E-3</v>
      </c>
      <c r="V59" s="40"/>
      <c r="X59" s="228"/>
      <c r="Y59" s="247" t="s">
        <v>142</v>
      </c>
      <c r="Z59" s="248">
        <v>1</v>
      </c>
      <c r="AA59" s="238">
        <v>1.0395010395010396E-3</v>
      </c>
      <c r="AB59" s="228"/>
      <c r="AD59" s="229"/>
      <c r="AE59" s="247" t="s">
        <v>139</v>
      </c>
      <c r="AF59" s="248">
        <v>1</v>
      </c>
      <c r="AG59" s="238">
        <f t="shared" si="4"/>
        <v>1.0341261633919339E-3</v>
      </c>
      <c r="AH59" s="229"/>
      <c r="AJ59" s="229"/>
      <c r="AK59" s="247" t="s">
        <v>113</v>
      </c>
      <c r="AL59" s="248">
        <v>1</v>
      </c>
      <c r="AM59" s="238">
        <f t="shared" si="1"/>
        <v>1.2033694344163659E-3</v>
      </c>
      <c r="AN59" s="229"/>
      <c r="AP59" s="229"/>
      <c r="AQ59" s="247" t="s">
        <v>161</v>
      </c>
      <c r="AR59" s="248">
        <v>1</v>
      </c>
      <c r="AS59" s="238">
        <f t="shared" si="2"/>
        <v>2.1276595744680851E-3</v>
      </c>
      <c r="AT59" s="229"/>
    </row>
    <row r="60" spans="2:46" x14ac:dyDescent="0.25">
      <c r="B60" s="36" t="s">
        <v>146</v>
      </c>
      <c r="C60" s="11">
        <v>1</v>
      </c>
      <c r="D60" s="33">
        <f t="shared" si="0"/>
        <v>1.1655011655011655E-3</v>
      </c>
      <c r="G60" s="40"/>
      <c r="H60" s="36" t="s">
        <v>160</v>
      </c>
      <c r="I60" s="11">
        <v>1</v>
      </c>
      <c r="J60" s="33">
        <v>1.1337868480725624E-3</v>
      </c>
      <c r="K60" s="40"/>
      <c r="L60" s="40"/>
      <c r="M60" s="40"/>
      <c r="N60" s="79" t="s">
        <v>141</v>
      </c>
      <c r="O60" s="67">
        <v>1</v>
      </c>
      <c r="P60" s="85">
        <f t="shared" si="3"/>
        <v>1.1534025374855825E-3</v>
      </c>
      <c r="Q60" s="40"/>
      <c r="S60" s="36" t="s">
        <v>151</v>
      </c>
      <c r="T60" s="11">
        <v>1</v>
      </c>
      <c r="U60" s="33">
        <v>1.0893246187363835E-3</v>
      </c>
      <c r="V60" s="40"/>
      <c r="X60" s="228"/>
      <c r="Y60" s="247" t="s">
        <v>136</v>
      </c>
      <c r="Z60" s="248">
        <v>1</v>
      </c>
      <c r="AA60" s="238">
        <v>1.0395010395010396E-3</v>
      </c>
      <c r="AB60" s="228"/>
      <c r="AD60" s="229"/>
      <c r="AE60" s="247" t="s">
        <v>147</v>
      </c>
      <c r="AF60" s="248">
        <v>1</v>
      </c>
      <c r="AG60" s="238">
        <f t="shared" si="4"/>
        <v>1.0341261633919339E-3</v>
      </c>
      <c r="AH60" s="229"/>
      <c r="AJ60" s="229"/>
      <c r="AK60" s="247" t="s">
        <v>142</v>
      </c>
      <c r="AL60" s="248">
        <v>1</v>
      </c>
      <c r="AM60" s="238">
        <f t="shared" si="1"/>
        <v>1.2033694344163659E-3</v>
      </c>
      <c r="AN60" s="229"/>
      <c r="AP60" s="229"/>
      <c r="AQ60" s="247" t="s">
        <v>136</v>
      </c>
      <c r="AR60" s="248">
        <v>1</v>
      </c>
      <c r="AS60" s="238">
        <f t="shared" si="2"/>
        <v>2.1276595744680851E-3</v>
      </c>
      <c r="AT60" s="229"/>
    </row>
    <row r="61" spans="2:46" x14ac:dyDescent="0.25">
      <c r="B61" s="36" t="s">
        <v>147</v>
      </c>
      <c r="C61" s="11">
        <v>1</v>
      </c>
      <c r="D61" s="33">
        <f t="shared" si="0"/>
        <v>1.1655011655011655E-3</v>
      </c>
      <c r="G61" s="40"/>
      <c r="H61" s="36" t="s">
        <v>127</v>
      </c>
      <c r="I61" s="11">
        <v>1</v>
      </c>
      <c r="J61" s="33">
        <v>1.1337868480725624E-3</v>
      </c>
      <c r="K61" s="40"/>
      <c r="L61" s="40"/>
      <c r="M61" s="40"/>
      <c r="N61" s="79" t="s">
        <v>171</v>
      </c>
      <c r="O61" s="67">
        <v>1</v>
      </c>
      <c r="P61" s="85">
        <f t="shared" si="3"/>
        <v>1.1534025374855825E-3</v>
      </c>
      <c r="Q61" s="40"/>
      <c r="S61" s="36" t="s">
        <v>130</v>
      </c>
      <c r="T61" s="11">
        <v>1</v>
      </c>
      <c r="U61" s="33">
        <v>1.0893246187363835E-3</v>
      </c>
      <c r="V61" s="40"/>
      <c r="X61" s="228"/>
      <c r="Y61" s="247" t="s">
        <v>160</v>
      </c>
      <c r="Z61" s="248">
        <v>1</v>
      </c>
      <c r="AA61" s="238">
        <v>1.0395010395010396E-3</v>
      </c>
      <c r="AB61" s="228"/>
      <c r="AD61" s="229"/>
      <c r="AE61" s="247" t="s">
        <v>138</v>
      </c>
      <c r="AF61" s="248">
        <v>1</v>
      </c>
      <c r="AG61" s="238">
        <f t="shared" si="4"/>
        <v>1.0341261633919339E-3</v>
      </c>
      <c r="AH61" s="229"/>
      <c r="AJ61" s="229"/>
      <c r="AK61" s="247" t="s">
        <v>149</v>
      </c>
      <c r="AL61" s="248">
        <v>1</v>
      </c>
      <c r="AM61" s="238">
        <f t="shared" si="1"/>
        <v>1.2033694344163659E-3</v>
      </c>
      <c r="AN61" s="229"/>
      <c r="AP61" s="229"/>
      <c r="AQ61" s="247" t="s">
        <v>158</v>
      </c>
      <c r="AR61" s="248">
        <v>1</v>
      </c>
      <c r="AS61" s="238">
        <f t="shared" si="2"/>
        <v>2.1276595744680851E-3</v>
      </c>
      <c r="AT61" s="229"/>
    </row>
    <row r="62" spans="2:46" x14ac:dyDescent="0.25">
      <c r="B62" s="36" t="s">
        <v>148</v>
      </c>
      <c r="C62" s="11">
        <v>1</v>
      </c>
      <c r="D62" s="33">
        <f t="shared" si="0"/>
        <v>1.1655011655011655E-3</v>
      </c>
      <c r="G62" s="40"/>
      <c r="H62" s="36" t="s">
        <v>152</v>
      </c>
      <c r="I62" s="11">
        <v>1</v>
      </c>
      <c r="J62" s="33">
        <v>1.1337868480725624E-3</v>
      </c>
      <c r="K62" s="40"/>
      <c r="L62" s="40"/>
      <c r="M62" s="40"/>
      <c r="N62" s="79" t="s">
        <v>172</v>
      </c>
      <c r="O62" s="67">
        <v>1</v>
      </c>
      <c r="P62" s="85">
        <f t="shared" si="3"/>
        <v>1.1534025374855825E-3</v>
      </c>
      <c r="Q62" s="40"/>
      <c r="S62" s="36" t="s">
        <v>137</v>
      </c>
      <c r="T62" s="11">
        <v>1</v>
      </c>
      <c r="U62" s="33">
        <v>1.0893246187363835E-3</v>
      </c>
      <c r="V62" s="40"/>
      <c r="X62" s="228"/>
      <c r="Y62" s="247" t="s">
        <v>149</v>
      </c>
      <c r="Z62" s="248">
        <v>1</v>
      </c>
      <c r="AA62" s="238">
        <v>1.0395010395010396E-3</v>
      </c>
      <c r="AB62" s="228"/>
      <c r="AD62" s="229"/>
      <c r="AE62" s="247" t="s">
        <v>151</v>
      </c>
      <c r="AF62" s="248">
        <v>1</v>
      </c>
      <c r="AG62" s="238">
        <f t="shared" si="4"/>
        <v>1.0341261633919339E-3</v>
      </c>
      <c r="AH62" s="229"/>
      <c r="AJ62" s="229"/>
      <c r="AK62" s="247" t="s">
        <v>133</v>
      </c>
      <c r="AL62" s="248">
        <v>1</v>
      </c>
      <c r="AM62" s="238">
        <f t="shared" si="1"/>
        <v>1.2033694344163659E-3</v>
      </c>
      <c r="AN62" s="229"/>
    </row>
    <row r="63" spans="2:46" x14ac:dyDescent="0.25">
      <c r="B63" s="36" t="s">
        <v>149</v>
      </c>
      <c r="C63" s="11">
        <v>1</v>
      </c>
      <c r="D63" s="33">
        <f t="shared" si="0"/>
        <v>1.1655011655011655E-3</v>
      </c>
      <c r="G63" s="40"/>
      <c r="H63" s="36" t="s">
        <v>132</v>
      </c>
      <c r="I63" s="11">
        <v>1</v>
      </c>
      <c r="J63" s="33">
        <v>1.1337868480725624E-3</v>
      </c>
      <c r="K63" s="40"/>
      <c r="L63" s="40"/>
      <c r="M63" s="40"/>
      <c r="N63" s="79" t="s">
        <v>151</v>
      </c>
      <c r="O63" s="67">
        <v>1</v>
      </c>
      <c r="P63" s="85">
        <f t="shared" si="3"/>
        <v>1.1534025374855825E-3</v>
      </c>
      <c r="Q63" s="40"/>
      <c r="S63" s="36" t="s">
        <v>124</v>
      </c>
      <c r="T63" s="11">
        <v>1</v>
      </c>
      <c r="U63" s="33">
        <v>1.0893246187363835E-3</v>
      </c>
      <c r="V63" s="40"/>
      <c r="X63" s="228"/>
      <c r="Y63" s="247" t="s">
        <v>172</v>
      </c>
      <c r="Z63" s="248">
        <v>1</v>
      </c>
      <c r="AA63" s="238">
        <v>1.0395010395010396E-3</v>
      </c>
      <c r="AB63" s="228"/>
      <c r="AD63" s="229"/>
      <c r="AE63" s="247" t="s">
        <v>150</v>
      </c>
      <c r="AF63" s="248">
        <v>1</v>
      </c>
      <c r="AG63" s="238">
        <f t="shared" si="4"/>
        <v>1.0341261633919339E-3</v>
      </c>
      <c r="AH63" s="229"/>
      <c r="AJ63" s="229"/>
      <c r="AK63" s="247" t="s">
        <v>134</v>
      </c>
      <c r="AL63" s="248">
        <v>1</v>
      </c>
      <c r="AM63" s="238">
        <f t="shared" si="1"/>
        <v>1.2033694344163659E-3</v>
      </c>
      <c r="AN63" s="229"/>
    </row>
    <row r="64" spans="2:46" x14ac:dyDescent="0.25">
      <c r="B64" s="36" t="s">
        <v>150</v>
      </c>
      <c r="C64" s="11">
        <v>1</v>
      </c>
      <c r="D64" s="33">
        <f t="shared" si="0"/>
        <v>1.1655011655011655E-3</v>
      </c>
      <c r="G64" s="40"/>
      <c r="H64" s="36" t="s">
        <v>161</v>
      </c>
      <c r="I64" s="11">
        <v>1</v>
      </c>
      <c r="J64" s="33">
        <v>1.1337868480725624E-3</v>
      </c>
      <c r="K64" s="40"/>
      <c r="L64" s="40"/>
      <c r="M64" s="40"/>
      <c r="N64" s="79" t="s">
        <v>173</v>
      </c>
      <c r="O64" s="67">
        <v>1</v>
      </c>
      <c r="P64" s="85">
        <f t="shared" si="3"/>
        <v>1.1534025374855825E-3</v>
      </c>
      <c r="Q64" s="40"/>
      <c r="S64" s="36" t="s">
        <v>144</v>
      </c>
      <c r="T64" s="11">
        <v>1</v>
      </c>
      <c r="U64" s="33">
        <v>1.0893246187363835E-3</v>
      </c>
      <c r="V64" s="40"/>
      <c r="X64" s="228"/>
      <c r="Y64" s="247" t="s">
        <v>147</v>
      </c>
      <c r="Z64" s="248">
        <v>1</v>
      </c>
      <c r="AA64" s="238">
        <v>1.0395010395010396E-3</v>
      </c>
      <c r="AB64" s="228"/>
      <c r="AD64" s="229"/>
      <c r="AE64" s="247" t="s">
        <v>135</v>
      </c>
      <c r="AF64" s="248">
        <v>1</v>
      </c>
      <c r="AG64" s="238">
        <f t="shared" si="4"/>
        <v>1.0341261633919339E-3</v>
      </c>
      <c r="AH64" s="229"/>
      <c r="AJ64" s="229"/>
      <c r="AK64" s="247" t="s">
        <v>129</v>
      </c>
      <c r="AL64" s="248">
        <v>1</v>
      </c>
      <c r="AM64" s="238">
        <f t="shared" si="1"/>
        <v>1.2033694344163659E-3</v>
      </c>
      <c r="AN64" s="229"/>
    </row>
    <row r="65" spans="2:40" x14ac:dyDescent="0.25">
      <c r="B65" s="36" t="s">
        <v>151</v>
      </c>
      <c r="C65" s="11">
        <v>1</v>
      </c>
      <c r="D65" s="33">
        <f t="shared" si="0"/>
        <v>1.1655011655011655E-3</v>
      </c>
      <c r="G65" s="40"/>
      <c r="H65" s="36" t="s">
        <v>134</v>
      </c>
      <c r="I65" s="11">
        <v>1</v>
      </c>
      <c r="J65" s="33">
        <v>1.1337868480725624E-3</v>
      </c>
      <c r="K65" s="40"/>
      <c r="L65" s="40"/>
      <c r="M65" s="40"/>
      <c r="N65" s="79" t="s">
        <v>132</v>
      </c>
      <c r="O65" s="67">
        <v>1</v>
      </c>
      <c r="P65" s="85">
        <f t="shared" si="3"/>
        <v>1.1534025374855825E-3</v>
      </c>
      <c r="Q65" s="40"/>
      <c r="X65" s="228"/>
      <c r="Y65" s="247" t="s">
        <v>144</v>
      </c>
      <c r="Z65" s="248">
        <v>1</v>
      </c>
      <c r="AA65" s="238">
        <v>1.0395010395010396E-3</v>
      </c>
      <c r="AB65" s="228"/>
      <c r="AD65" s="229"/>
      <c r="AE65" s="247" t="s">
        <v>143</v>
      </c>
      <c r="AF65" s="248">
        <v>1</v>
      </c>
      <c r="AG65" s="238">
        <f t="shared" si="4"/>
        <v>1.0341261633919339E-3</v>
      </c>
      <c r="AH65" s="229"/>
      <c r="AJ65" s="229"/>
      <c r="AK65" s="247" t="s">
        <v>399</v>
      </c>
      <c r="AL65" s="248">
        <v>1</v>
      </c>
      <c r="AM65" s="238">
        <f t="shared" si="1"/>
        <v>1.2033694344163659E-3</v>
      </c>
      <c r="AN65" s="229"/>
    </row>
    <row r="66" spans="2:40" x14ac:dyDescent="0.25">
      <c r="B66" s="36" t="s">
        <v>152</v>
      </c>
      <c r="C66" s="11">
        <v>1</v>
      </c>
      <c r="D66" s="33">
        <f t="shared" si="0"/>
        <v>1.1655011655011655E-3</v>
      </c>
      <c r="L66" s="40"/>
      <c r="M66" s="40"/>
      <c r="N66" s="79" t="s">
        <v>133</v>
      </c>
      <c r="O66" s="67">
        <v>1</v>
      </c>
      <c r="P66" s="85">
        <f t="shared" si="3"/>
        <v>1.1534025374855825E-3</v>
      </c>
      <c r="Q66" s="40"/>
      <c r="X66" s="228"/>
      <c r="Y66" s="247" t="s">
        <v>139</v>
      </c>
      <c r="Z66" s="248">
        <v>1</v>
      </c>
      <c r="AA66" s="238">
        <v>1.0395010395010396E-3</v>
      </c>
      <c r="AB66" s="228"/>
      <c r="AD66" s="229"/>
      <c r="AE66" s="247" t="s">
        <v>157</v>
      </c>
      <c r="AF66" s="248">
        <v>1</v>
      </c>
      <c r="AG66" s="238">
        <f t="shared" si="4"/>
        <v>1.0341261633919339E-3</v>
      </c>
      <c r="AH66" s="229"/>
    </row>
    <row r="67" spans="2:40" ht="15.75" thickBot="1" x14ac:dyDescent="0.3">
      <c r="B67" s="36" t="s">
        <v>153</v>
      </c>
      <c r="C67" s="11">
        <v>1</v>
      </c>
      <c r="D67" s="33">
        <f t="shared" si="0"/>
        <v>1.1655011655011655E-3</v>
      </c>
      <c r="M67" s="40"/>
      <c r="N67" s="78" t="s">
        <v>153</v>
      </c>
      <c r="O67" s="68">
        <v>1</v>
      </c>
      <c r="P67" s="88">
        <f t="shared" si="3"/>
        <v>1.1534025374855825E-3</v>
      </c>
      <c r="Q67" s="40"/>
      <c r="X67" s="228"/>
      <c r="Y67" s="247" t="s">
        <v>155</v>
      </c>
      <c r="Z67" s="248">
        <v>1</v>
      </c>
      <c r="AA67" s="238">
        <v>1.0395010395010396E-3</v>
      </c>
      <c r="AB67" s="228"/>
      <c r="AD67" s="229"/>
      <c r="AE67" s="247" t="s">
        <v>176</v>
      </c>
      <c r="AF67" s="248">
        <v>1</v>
      </c>
      <c r="AG67" s="238">
        <f t="shared" si="4"/>
        <v>1.0341261633919339E-3</v>
      </c>
      <c r="AH67" s="229"/>
    </row>
    <row r="68" spans="2:40" ht="15.75" thickTop="1" x14ac:dyDescent="0.25">
      <c r="B68" s="36" t="s">
        <v>154</v>
      </c>
      <c r="C68" s="11">
        <v>1</v>
      </c>
      <c r="D68" s="33">
        <f t="shared" si="0"/>
        <v>1.1655011655011655E-3</v>
      </c>
      <c r="AE68" s="247" t="s">
        <v>375</v>
      </c>
      <c r="AF68" s="248">
        <v>1</v>
      </c>
      <c r="AG68" s="238">
        <f t="shared" si="4"/>
        <v>1.0341261633919339E-3</v>
      </c>
    </row>
    <row r="69" spans="2:40" x14ac:dyDescent="0.25">
      <c r="B69" s="36" t="s">
        <v>155</v>
      </c>
      <c r="C69" s="11">
        <v>1</v>
      </c>
      <c r="D69" s="33">
        <f t="shared" si="0"/>
        <v>1.1655011655011655E-3</v>
      </c>
    </row>
  </sheetData>
  <mergeCells count="24">
    <mergeCell ref="Y6:AA6"/>
    <mergeCell ref="AB10:AB12"/>
    <mergeCell ref="B6:D6"/>
    <mergeCell ref="B7:D7"/>
    <mergeCell ref="H6:J6"/>
    <mergeCell ref="H7:J7"/>
    <mergeCell ref="N6:P6"/>
    <mergeCell ref="N7:P7"/>
    <mergeCell ref="AQ5:AS5"/>
    <mergeCell ref="AQ6:AS6"/>
    <mergeCell ref="AT10:AT12"/>
    <mergeCell ref="K10:K12"/>
    <mergeCell ref="E10:E12"/>
    <mergeCell ref="S5:U5"/>
    <mergeCell ref="S6:U6"/>
    <mergeCell ref="AK5:AM5"/>
    <mergeCell ref="AK6:AM6"/>
    <mergeCell ref="AN10:AN12"/>
    <mergeCell ref="V10:V12"/>
    <mergeCell ref="Q10:Q12"/>
    <mergeCell ref="AE5:AG5"/>
    <mergeCell ref="AE6:AG6"/>
    <mergeCell ref="AH10:AH12"/>
    <mergeCell ref="Y5:AA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99"/>
  </sheetPr>
  <dimension ref="A1:AA54"/>
  <sheetViews>
    <sheetView zoomScale="40" zoomScaleNormal="40" workbookViewId="0">
      <selection activeCell="AA68" sqref="AA68"/>
    </sheetView>
  </sheetViews>
  <sheetFormatPr baseColWidth="10" defaultRowHeight="15" x14ac:dyDescent="0.25"/>
  <cols>
    <col min="1" max="1" width="13.5703125" style="40" customWidth="1"/>
    <col min="2" max="2" width="21.140625" style="40" customWidth="1"/>
    <col min="3" max="3" width="10.140625" style="40" bestFit="1" customWidth="1"/>
    <col min="4" max="4" width="9.7109375" style="40" customWidth="1"/>
    <col min="5" max="5" width="8.42578125" style="40" customWidth="1"/>
    <col min="6" max="6" width="8.85546875" style="40" customWidth="1"/>
    <col min="7" max="7" width="11.7109375" style="40" customWidth="1"/>
    <col min="8" max="8" width="12.85546875" style="40" customWidth="1"/>
    <col min="9" max="9" width="9.140625" style="40" customWidth="1"/>
    <col min="10" max="10" width="11.42578125" style="40" customWidth="1"/>
    <col min="11" max="11" width="7.85546875" style="40" customWidth="1"/>
    <col min="12" max="12" width="9.28515625" style="40" customWidth="1"/>
    <col min="13" max="13" width="10" style="40" customWidth="1"/>
    <col min="14" max="14" width="9.140625" style="40" customWidth="1"/>
    <col min="15" max="16" width="10.5703125" style="40" customWidth="1"/>
    <col min="17" max="17" width="13.140625" style="40" customWidth="1"/>
    <col min="18" max="18" width="9.140625" style="40" customWidth="1"/>
    <col min="19" max="19" width="10" style="40" customWidth="1"/>
    <col min="20" max="20" width="10.28515625" style="40" customWidth="1"/>
    <col min="21" max="21" width="12" style="40" customWidth="1"/>
    <col min="22" max="22" width="12.140625" style="40" customWidth="1"/>
    <col min="23" max="23" width="11" style="40" customWidth="1"/>
    <col min="24" max="24" width="4.42578125" style="9" customWidth="1"/>
    <col min="25" max="25" width="16.7109375" style="40" customWidth="1"/>
    <col min="26" max="26" width="15.5703125" style="40" customWidth="1"/>
    <col min="27" max="27" width="15.28515625" style="40" customWidth="1"/>
    <col min="28" max="16384" width="11.42578125" style="40"/>
  </cols>
  <sheetData>
    <row r="1" spans="1:23" x14ac:dyDescent="0.25">
      <c r="A1" s="2" t="s">
        <v>15</v>
      </c>
      <c r="B1" s="3"/>
      <c r="C1" s="3"/>
      <c r="D1" s="4"/>
      <c r="E1" s="4"/>
      <c r="F1" s="4"/>
      <c r="G1" s="4"/>
      <c r="H1" s="4"/>
      <c r="I1" s="4"/>
    </row>
    <row r="2" spans="1:23" x14ac:dyDescent="0.25">
      <c r="A2" s="2" t="s">
        <v>16</v>
      </c>
      <c r="B2" s="3"/>
      <c r="C2" s="3"/>
      <c r="D2" s="4"/>
      <c r="E2" s="4"/>
      <c r="F2" s="4"/>
      <c r="G2" s="4"/>
      <c r="H2" s="4"/>
      <c r="I2" s="4"/>
    </row>
    <row r="3" spans="1:23" x14ac:dyDescent="0.25">
      <c r="A3" s="2" t="s">
        <v>17</v>
      </c>
      <c r="B3" s="3"/>
      <c r="C3" s="3"/>
      <c r="D3" s="4"/>
      <c r="E3" s="4"/>
      <c r="F3" s="4"/>
      <c r="G3" s="4"/>
      <c r="H3" s="4"/>
      <c r="I3" s="4"/>
    </row>
    <row r="4" spans="1:23" x14ac:dyDescent="0.25">
      <c r="A4" s="2" t="s">
        <v>18</v>
      </c>
      <c r="B4" s="3"/>
      <c r="C4" s="3"/>
      <c r="D4" s="4"/>
      <c r="E4" s="4"/>
      <c r="F4" s="4"/>
      <c r="G4" s="4"/>
      <c r="H4" s="4"/>
      <c r="I4" s="4"/>
    </row>
    <row r="5" spans="1:23" x14ac:dyDescent="0.25">
      <c r="A5" s="4"/>
      <c r="B5" s="3"/>
      <c r="C5" s="3"/>
      <c r="D5" s="4"/>
      <c r="E5" s="4"/>
      <c r="F5" s="4"/>
      <c r="G5" s="4"/>
      <c r="H5" s="4"/>
      <c r="I5" s="4"/>
    </row>
    <row r="6" spans="1:23" ht="15" customHeight="1" x14ac:dyDescent="0.25">
      <c r="A6" s="719" t="s">
        <v>19</v>
      </c>
      <c r="B6" s="719"/>
      <c r="C6" s="719"/>
      <c r="D6" s="719"/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/>
      <c r="P6" s="719"/>
      <c r="Q6" s="719"/>
      <c r="R6" s="719"/>
      <c r="S6" s="719"/>
      <c r="T6" s="719"/>
      <c r="U6" s="719"/>
      <c r="V6" s="719"/>
    </row>
    <row r="7" spans="1:23" x14ac:dyDescent="0.25">
      <c r="A7" s="4"/>
      <c r="B7" s="3"/>
      <c r="C7" s="3"/>
      <c r="D7" s="4"/>
      <c r="E7" s="4"/>
      <c r="F7" s="4"/>
      <c r="G7" s="4"/>
      <c r="H7" s="4"/>
      <c r="I7" s="4"/>
    </row>
    <row r="8" spans="1:23" x14ac:dyDescent="0.25">
      <c r="A8" s="2" t="s">
        <v>20</v>
      </c>
      <c r="B8" s="4" t="s">
        <v>21</v>
      </c>
      <c r="C8" s="3"/>
      <c r="D8" s="4"/>
      <c r="E8" s="4"/>
      <c r="F8" s="4"/>
      <c r="G8" s="4"/>
      <c r="H8" s="4"/>
      <c r="I8" s="4"/>
    </row>
    <row r="9" spans="1:23" x14ac:dyDescent="0.25">
      <c r="B9" s="4"/>
      <c r="C9" s="5"/>
      <c r="D9" s="4"/>
      <c r="E9" s="4"/>
      <c r="F9" s="4"/>
      <c r="G9" s="4"/>
      <c r="H9" s="4"/>
      <c r="I9" s="4"/>
    </row>
    <row r="10" spans="1:23" x14ac:dyDescent="0.25">
      <c r="A10" s="6" t="s">
        <v>23</v>
      </c>
      <c r="B10" s="6"/>
      <c r="C10" s="7"/>
      <c r="D10" s="4"/>
      <c r="E10" s="4"/>
      <c r="F10" s="4"/>
      <c r="G10" s="4"/>
      <c r="H10" s="4"/>
      <c r="I10" s="4"/>
    </row>
    <row r="11" spans="1:23" ht="15" customHeight="1" x14ac:dyDescent="0.25">
      <c r="A11" s="8"/>
      <c r="B11" s="718" t="s">
        <v>24</v>
      </c>
      <c r="C11" s="718"/>
      <c r="D11" s="718"/>
      <c r="E11" s="718"/>
      <c r="F11" s="718"/>
      <c r="G11" s="718"/>
      <c r="H11" s="718"/>
      <c r="I11" s="718"/>
      <c r="J11" s="718"/>
      <c r="K11" s="718"/>
      <c r="L11" s="718"/>
      <c r="M11" s="718"/>
      <c r="N11" s="718"/>
      <c r="O11" s="718"/>
      <c r="P11" s="718"/>
      <c r="Q11" s="718"/>
      <c r="R11" s="718"/>
      <c r="S11" s="718"/>
      <c r="T11" s="718"/>
      <c r="U11" s="718"/>
      <c r="V11" s="718"/>
      <c r="W11" s="718"/>
    </row>
    <row r="12" spans="1:23" ht="15.75" thickBot="1" x14ac:dyDescent="0.3">
      <c r="A12" s="8"/>
      <c r="B12" s="718"/>
      <c r="C12" s="718"/>
      <c r="D12" s="718"/>
      <c r="E12" s="718"/>
      <c r="F12" s="718"/>
      <c r="G12" s="718"/>
      <c r="H12" s="718"/>
      <c r="I12" s="718"/>
      <c r="J12" s="718"/>
      <c r="K12" s="718"/>
      <c r="L12" s="718"/>
      <c r="M12" s="718"/>
      <c r="N12" s="718"/>
      <c r="O12" s="718"/>
      <c r="P12" s="718"/>
      <c r="Q12" s="718"/>
      <c r="R12" s="718"/>
      <c r="S12" s="718"/>
      <c r="T12" s="718"/>
      <c r="U12" s="718"/>
      <c r="V12" s="718"/>
      <c r="W12" s="718"/>
    </row>
    <row r="13" spans="1:23" ht="16.5" thickTop="1" thickBot="1" x14ac:dyDescent="0.3">
      <c r="C13" s="720" t="s">
        <v>164</v>
      </c>
      <c r="D13" s="721"/>
      <c r="E13" s="721"/>
      <c r="F13" s="721"/>
      <c r="G13" s="721"/>
      <c r="H13" s="721"/>
      <c r="I13" s="721"/>
      <c r="J13" s="721"/>
      <c r="K13" s="722"/>
      <c r="L13" s="723" t="s">
        <v>165</v>
      </c>
      <c r="M13" s="724"/>
      <c r="N13" s="724"/>
      <c r="O13" s="724"/>
      <c r="P13" s="724"/>
      <c r="Q13" s="724"/>
      <c r="R13" s="724"/>
      <c r="S13" s="724"/>
      <c r="T13" s="724"/>
      <c r="U13" s="724"/>
      <c r="V13" s="725"/>
    </row>
    <row r="14" spans="1:23" ht="15.75" thickTop="1" x14ac:dyDescent="0.25">
      <c r="B14" s="42" t="s">
        <v>14</v>
      </c>
      <c r="C14" s="504" t="s">
        <v>6</v>
      </c>
      <c r="D14" s="505" t="s">
        <v>8</v>
      </c>
      <c r="E14" s="505" t="s">
        <v>4</v>
      </c>
      <c r="F14" s="505" t="s">
        <v>382</v>
      </c>
      <c r="G14" s="505" t="s">
        <v>404</v>
      </c>
      <c r="H14" s="505" t="s">
        <v>405</v>
      </c>
      <c r="I14" s="505" t="s">
        <v>406</v>
      </c>
      <c r="J14" s="505" t="s">
        <v>2</v>
      </c>
      <c r="K14" s="505" t="s">
        <v>407</v>
      </c>
      <c r="L14" s="524" t="s">
        <v>9</v>
      </c>
      <c r="M14" s="525" t="s">
        <v>8</v>
      </c>
      <c r="N14" s="525" t="s">
        <v>382</v>
      </c>
      <c r="O14" s="525" t="s">
        <v>7</v>
      </c>
      <c r="P14" s="525" t="s">
        <v>6</v>
      </c>
      <c r="Q14" s="525" t="s">
        <v>5</v>
      </c>
      <c r="R14" s="525" t="s">
        <v>4</v>
      </c>
      <c r="S14" s="525" t="s">
        <v>402</v>
      </c>
      <c r="T14" s="525" t="s">
        <v>3</v>
      </c>
      <c r="U14" s="526" t="s">
        <v>2</v>
      </c>
      <c r="V14" s="527" t="s">
        <v>403</v>
      </c>
      <c r="W14" s="60" t="s">
        <v>82</v>
      </c>
    </row>
    <row r="15" spans="1:23" x14ac:dyDescent="0.25">
      <c r="B15" s="51">
        <v>2012</v>
      </c>
      <c r="C15" s="54"/>
      <c r="D15" s="43"/>
      <c r="E15" s="44"/>
      <c r="F15" s="43"/>
      <c r="G15" s="43"/>
      <c r="H15" s="43"/>
      <c r="I15" s="43"/>
      <c r="J15" s="43"/>
      <c r="K15" s="43"/>
      <c r="L15" s="225">
        <v>0</v>
      </c>
      <c r="M15" s="222">
        <v>0</v>
      </c>
      <c r="N15" s="218">
        <v>0</v>
      </c>
      <c r="O15" s="222">
        <v>0</v>
      </c>
      <c r="P15" s="222">
        <v>0</v>
      </c>
      <c r="Q15" s="222">
        <v>0</v>
      </c>
      <c r="R15" s="222">
        <v>1</v>
      </c>
      <c r="S15" s="222">
        <v>0</v>
      </c>
      <c r="T15" s="222">
        <v>0</v>
      </c>
      <c r="U15" s="227">
        <v>0</v>
      </c>
      <c r="V15" s="227"/>
      <c r="W15" s="61">
        <f t="shared" ref="W15:W20" si="0">SUM(C15:U15)</f>
        <v>1</v>
      </c>
    </row>
    <row r="16" spans="1:23" x14ac:dyDescent="0.25">
      <c r="B16" s="52">
        <v>2013</v>
      </c>
      <c r="C16" s="55">
        <v>0</v>
      </c>
      <c r="D16" s="45">
        <v>1</v>
      </c>
      <c r="E16" s="46">
        <v>0</v>
      </c>
      <c r="F16" s="45">
        <v>1</v>
      </c>
      <c r="G16" s="45"/>
      <c r="H16" s="45"/>
      <c r="I16" s="45"/>
      <c r="J16" s="45"/>
      <c r="K16" s="45"/>
      <c r="L16" s="212">
        <v>0</v>
      </c>
      <c r="M16" s="220">
        <v>0</v>
      </c>
      <c r="N16" s="216">
        <v>0</v>
      </c>
      <c r="O16" s="220">
        <v>0</v>
      </c>
      <c r="P16" s="220">
        <v>0</v>
      </c>
      <c r="Q16" s="220">
        <v>0</v>
      </c>
      <c r="R16" s="220">
        <v>0</v>
      </c>
      <c r="S16" s="220">
        <v>0</v>
      </c>
      <c r="T16" s="220">
        <v>1</v>
      </c>
      <c r="U16" s="224"/>
      <c r="V16" s="224"/>
      <c r="W16" s="62">
        <f t="shared" si="0"/>
        <v>3</v>
      </c>
    </row>
    <row r="17" spans="1:27" x14ac:dyDescent="0.25">
      <c r="B17" s="52">
        <v>2014</v>
      </c>
      <c r="C17" s="55">
        <v>0</v>
      </c>
      <c r="D17" s="45">
        <v>1</v>
      </c>
      <c r="E17" s="46">
        <v>0</v>
      </c>
      <c r="F17" s="45">
        <v>5</v>
      </c>
      <c r="G17" s="47">
        <v>0</v>
      </c>
      <c r="H17" s="47">
        <v>0</v>
      </c>
      <c r="I17" s="47">
        <v>0</v>
      </c>
      <c r="J17" s="47">
        <v>1</v>
      </c>
      <c r="K17" s="56">
        <v>0</v>
      </c>
      <c r="L17" s="212">
        <v>0</v>
      </c>
      <c r="M17" s="220">
        <v>0</v>
      </c>
      <c r="N17" s="216">
        <v>0</v>
      </c>
      <c r="O17" s="220">
        <v>3</v>
      </c>
      <c r="P17" s="220">
        <v>0</v>
      </c>
      <c r="Q17" s="220">
        <v>0</v>
      </c>
      <c r="R17" s="220">
        <v>0</v>
      </c>
      <c r="S17" s="220">
        <v>0</v>
      </c>
      <c r="T17" s="220">
        <v>0</v>
      </c>
      <c r="U17" s="224">
        <v>0</v>
      </c>
      <c r="V17" s="224"/>
      <c r="W17" s="62">
        <f t="shared" si="0"/>
        <v>10</v>
      </c>
    </row>
    <row r="18" spans="1:27" x14ac:dyDescent="0.25">
      <c r="B18" s="52">
        <v>2015</v>
      </c>
      <c r="C18" s="55">
        <v>0</v>
      </c>
      <c r="D18" s="45">
        <v>8</v>
      </c>
      <c r="E18" s="46">
        <v>0</v>
      </c>
      <c r="F18" s="45">
        <v>15</v>
      </c>
      <c r="G18" s="47">
        <v>0</v>
      </c>
      <c r="H18" s="47">
        <v>4</v>
      </c>
      <c r="I18" s="47">
        <v>0</v>
      </c>
      <c r="J18" s="47">
        <v>4</v>
      </c>
      <c r="K18" s="56">
        <v>0</v>
      </c>
      <c r="L18" s="212">
        <v>0</v>
      </c>
      <c r="M18" s="220">
        <v>0</v>
      </c>
      <c r="N18" s="216">
        <v>0</v>
      </c>
      <c r="O18" s="220">
        <v>2</v>
      </c>
      <c r="P18" s="220">
        <v>1</v>
      </c>
      <c r="Q18" s="220">
        <v>0</v>
      </c>
      <c r="R18" s="220">
        <v>0</v>
      </c>
      <c r="S18" s="220">
        <v>0</v>
      </c>
      <c r="T18" s="220">
        <v>0</v>
      </c>
      <c r="U18" s="224">
        <v>0</v>
      </c>
      <c r="V18" s="224"/>
      <c r="W18" s="62">
        <f t="shared" si="0"/>
        <v>34</v>
      </c>
    </row>
    <row r="19" spans="1:27" x14ac:dyDescent="0.25">
      <c r="B19" s="52">
        <v>2016</v>
      </c>
      <c r="C19" s="55">
        <v>6850</v>
      </c>
      <c r="D19" s="45">
        <v>3638</v>
      </c>
      <c r="E19" s="46">
        <v>4997</v>
      </c>
      <c r="F19" s="45">
        <v>658</v>
      </c>
      <c r="G19" s="47">
        <v>12</v>
      </c>
      <c r="H19" s="47">
        <v>6</v>
      </c>
      <c r="I19" s="47">
        <v>148</v>
      </c>
      <c r="J19" s="47">
        <v>15</v>
      </c>
      <c r="K19" s="56">
        <v>17</v>
      </c>
      <c r="L19" s="212">
        <v>28</v>
      </c>
      <c r="M19" s="220">
        <v>341</v>
      </c>
      <c r="N19" s="216">
        <v>2</v>
      </c>
      <c r="O19" s="220">
        <v>2</v>
      </c>
      <c r="P19" s="220">
        <v>214</v>
      </c>
      <c r="Q19" s="220">
        <v>17</v>
      </c>
      <c r="R19" s="220">
        <v>60</v>
      </c>
      <c r="S19" s="220">
        <v>6</v>
      </c>
      <c r="T19" s="220">
        <v>7</v>
      </c>
      <c r="U19" s="224">
        <v>4</v>
      </c>
      <c r="V19" s="224"/>
      <c r="W19" s="62">
        <f t="shared" si="0"/>
        <v>17022</v>
      </c>
    </row>
    <row r="20" spans="1:27" x14ac:dyDescent="0.25">
      <c r="B20" s="53">
        <v>2017</v>
      </c>
      <c r="C20" s="57">
        <v>16325</v>
      </c>
      <c r="D20" s="48">
        <v>11844</v>
      </c>
      <c r="E20" s="49">
        <v>9864</v>
      </c>
      <c r="F20" s="48">
        <v>2280</v>
      </c>
      <c r="G20" s="50">
        <v>79</v>
      </c>
      <c r="H20" s="50">
        <v>44</v>
      </c>
      <c r="I20" s="50">
        <v>442</v>
      </c>
      <c r="J20" s="50">
        <v>81</v>
      </c>
      <c r="K20" s="58">
        <v>137</v>
      </c>
      <c r="L20" s="57">
        <v>61</v>
      </c>
      <c r="M20" s="48">
        <v>1116</v>
      </c>
      <c r="N20" s="49"/>
      <c r="O20" s="48">
        <v>30</v>
      </c>
      <c r="P20" s="48">
        <v>2680</v>
      </c>
      <c r="Q20" s="48">
        <v>134</v>
      </c>
      <c r="R20" s="48">
        <v>799</v>
      </c>
      <c r="S20" s="48">
        <v>3</v>
      </c>
      <c r="T20" s="48">
        <v>47</v>
      </c>
      <c r="U20" s="59"/>
      <c r="V20" s="59"/>
      <c r="W20" s="63">
        <f t="shared" si="0"/>
        <v>45966</v>
      </c>
    </row>
    <row r="21" spans="1:27" ht="30" x14ac:dyDescent="0.25">
      <c r="B21" s="506" t="s">
        <v>1</v>
      </c>
      <c r="C21" s="507">
        <v>23175</v>
      </c>
      <c r="D21" s="508">
        <v>15492</v>
      </c>
      <c r="E21" s="508">
        <v>14861</v>
      </c>
      <c r="F21" s="508">
        <v>2959</v>
      </c>
      <c r="G21" s="509">
        <v>91</v>
      </c>
      <c r="H21" s="509">
        <v>54</v>
      </c>
      <c r="I21" s="509">
        <v>590</v>
      </c>
      <c r="J21" s="509">
        <v>101</v>
      </c>
      <c r="K21" s="510">
        <v>154</v>
      </c>
      <c r="L21" s="516">
        <v>89</v>
      </c>
      <c r="M21" s="517">
        <v>1457</v>
      </c>
      <c r="N21" s="517">
        <v>2</v>
      </c>
      <c r="O21" s="517">
        <v>37</v>
      </c>
      <c r="P21" s="517">
        <v>2895</v>
      </c>
      <c r="Q21" s="517">
        <v>151</v>
      </c>
      <c r="R21" s="517">
        <v>860</v>
      </c>
      <c r="S21" s="517">
        <v>9</v>
      </c>
      <c r="T21" s="517">
        <v>55</v>
      </c>
      <c r="U21" s="518">
        <v>4</v>
      </c>
      <c r="V21" s="518">
        <v>0</v>
      </c>
      <c r="W21" s="519">
        <f>SUM(C21:V21)</f>
        <v>63036</v>
      </c>
    </row>
    <row r="22" spans="1:27" ht="15" customHeight="1" thickBot="1" x14ac:dyDescent="0.3">
      <c r="B22" s="511" t="s">
        <v>0</v>
      </c>
      <c r="C22" s="512">
        <v>6850</v>
      </c>
      <c r="D22" s="513">
        <v>3648</v>
      </c>
      <c r="E22" s="513">
        <v>4997</v>
      </c>
      <c r="F22" s="513">
        <v>679</v>
      </c>
      <c r="G22" s="514">
        <v>12</v>
      </c>
      <c r="H22" s="514">
        <v>10</v>
      </c>
      <c r="I22" s="514">
        <v>148</v>
      </c>
      <c r="J22" s="514">
        <v>20</v>
      </c>
      <c r="K22" s="515">
        <v>17</v>
      </c>
      <c r="L22" s="520">
        <v>28</v>
      </c>
      <c r="M22" s="521">
        <v>341</v>
      </c>
      <c r="N22" s="521">
        <v>2</v>
      </c>
      <c r="O22" s="521">
        <v>7</v>
      </c>
      <c r="P22" s="521">
        <v>215</v>
      </c>
      <c r="Q22" s="521">
        <v>17</v>
      </c>
      <c r="R22" s="521">
        <v>61</v>
      </c>
      <c r="S22" s="521">
        <v>6</v>
      </c>
      <c r="T22" s="521">
        <v>8</v>
      </c>
      <c r="U22" s="522">
        <v>4</v>
      </c>
      <c r="V22" s="522">
        <v>0</v>
      </c>
      <c r="W22" s="523">
        <f>SUM(C22:V22)</f>
        <v>17070</v>
      </c>
    </row>
    <row r="23" spans="1:27" ht="15.75" thickTop="1" x14ac:dyDescent="0.25">
      <c r="A23" s="10"/>
      <c r="B23" s="10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Y23" s="726" t="s">
        <v>408</v>
      </c>
      <c r="Z23" s="726" t="s">
        <v>401</v>
      </c>
      <c r="AA23" s="726" t="s">
        <v>400</v>
      </c>
    </row>
    <row r="24" spans="1:27" s="229" customFormat="1" ht="15.75" thickBot="1" x14ac:dyDescent="0.3">
      <c r="A24" s="12" t="s">
        <v>385</v>
      </c>
      <c r="B24" s="730" t="s">
        <v>384</v>
      </c>
      <c r="C24" s="730"/>
      <c r="D24" s="308" t="s">
        <v>355</v>
      </c>
      <c r="E24" s="308" t="s">
        <v>356</v>
      </c>
      <c r="F24" s="308" t="s">
        <v>357</v>
      </c>
      <c r="G24" s="308" t="s">
        <v>358</v>
      </c>
      <c r="H24" s="308" t="s">
        <v>359</v>
      </c>
      <c r="I24" s="308" t="s">
        <v>360</v>
      </c>
      <c r="J24" s="308" t="s">
        <v>361</v>
      </c>
      <c r="K24" s="308" t="s">
        <v>362</v>
      </c>
      <c r="L24" s="308" t="s">
        <v>363</v>
      </c>
      <c r="M24" s="308" t="s">
        <v>364</v>
      </c>
      <c r="N24" s="308" t="s">
        <v>365</v>
      </c>
      <c r="O24" s="308" t="s">
        <v>366</v>
      </c>
      <c r="P24" s="308" t="s">
        <v>367</v>
      </c>
      <c r="Q24" s="308" t="s">
        <v>368</v>
      </c>
      <c r="R24" s="308" t="s">
        <v>369</v>
      </c>
      <c r="S24" s="308" t="s">
        <v>370</v>
      </c>
      <c r="T24" s="308" t="s">
        <v>371</v>
      </c>
      <c r="U24" s="308" t="s">
        <v>372</v>
      </c>
      <c r="V24" s="308" t="s">
        <v>373</v>
      </c>
      <c r="X24" s="9"/>
      <c r="Y24" s="727"/>
      <c r="Z24" s="727"/>
      <c r="AA24" s="727"/>
    </row>
    <row r="25" spans="1:27" ht="17.25" thickTop="1" thickBot="1" x14ac:dyDescent="0.3">
      <c r="A25" s="731">
        <v>43250</v>
      </c>
      <c r="B25" s="221" t="s">
        <v>386</v>
      </c>
      <c r="C25" s="208">
        <v>5578</v>
      </c>
      <c r="D25" s="206">
        <v>2373</v>
      </c>
      <c r="E25" s="206">
        <v>2498</v>
      </c>
      <c r="F25" s="206">
        <v>415</v>
      </c>
      <c r="G25" s="206">
        <v>12</v>
      </c>
      <c r="H25" s="206">
        <v>10</v>
      </c>
      <c r="I25" s="206">
        <v>125</v>
      </c>
      <c r="J25" s="206">
        <v>19</v>
      </c>
      <c r="K25" s="313">
        <v>6</v>
      </c>
      <c r="L25" s="309">
        <v>28</v>
      </c>
      <c r="M25" s="182">
        <v>247</v>
      </c>
      <c r="N25" s="182">
        <v>2</v>
      </c>
      <c r="O25" s="182">
        <v>7</v>
      </c>
      <c r="P25" s="182">
        <v>176</v>
      </c>
      <c r="Q25" s="182">
        <v>17</v>
      </c>
      <c r="R25" s="182">
        <v>51</v>
      </c>
      <c r="S25" s="182">
        <v>6</v>
      </c>
      <c r="T25" s="182">
        <v>8</v>
      </c>
      <c r="U25" s="183">
        <v>5</v>
      </c>
      <c r="V25" s="214">
        <v>4</v>
      </c>
      <c r="W25" s="253">
        <f t="shared" ref="W25:W30" si="1">SUM(C25:V25)</f>
        <v>11587</v>
      </c>
      <c r="Y25" s="493">
        <f>W22-W25</f>
        <v>5483</v>
      </c>
      <c r="Z25" s="503">
        <f>W25/$W$22</f>
        <v>0.67879320445225544</v>
      </c>
      <c r="AA25" s="789">
        <f>1-Z25</f>
        <v>0.32120679554774456</v>
      </c>
    </row>
    <row r="26" spans="1:27" ht="17.25" thickTop="1" thickBot="1" x14ac:dyDescent="0.3">
      <c r="A26" s="732"/>
      <c r="B26" s="250" t="s">
        <v>387</v>
      </c>
      <c r="C26" s="251">
        <v>1358</v>
      </c>
      <c r="D26" s="252">
        <v>1469</v>
      </c>
      <c r="E26" s="252">
        <v>2896</v>
      </c>
      <c r="F26" s="252">
        <v>355</v>
      </c>
      <c r="G26" s="252"/>
      <c r="H26" s="252"/>
      <c r="I26" s="252">
        <v>30</v>
      </c>
      <c r="J26" s="252">
        <v>2</v>
      </c>
      <c r="K26" s="314">
        <v>11</v>
      </c>
      <c r="L26" s="310">
        <v>1</v>
      </c>
      <c r="M26" s="180">
        <v>100</v>
      </c>
      <c r="N26" s="180">
        <v>2</v>
      </c>
      <c r="O26" s="180">
        <v>0</v>
      </c>
      <c r="P26" s="180">
        <v>51</v>
      </c>
      <c r="Q26" s="180">
        <v>3</v>
      </c>
      <c r="R26" s="180">
        <v>22</v>
      </c>
      <c r="S26" s="180">
        <v>2</v>
      </c>
      <c r="T26" s="180">
        <v>1</v>
      </c>
      <c r="U26" s="181"/>
      <c r="V26" s="209">
        <v>34</v>
      </c>
      <c r="W26" s="254">
        <f t="shared" si="1"/>
        <v>6337</v>
      </c>
      <c r="X26" s="229"/>
      <c r="Y26" s="229"/>
      <c r="Z26" s="229"/>
      <c r="AA26" s="790"/>
    </row>
    <row r="27" spans="1:27" ht="17.25" thickTop="1" thickBot="1" x14ac:dyDescent="0.3">
      <c r="A27" s="728">
        <v>43281</v>
      </c>
      <c r="B27" s="219" t="s">
        <v>386</v>
      </c>
      <c r="C27" s="215">
        <v>5102</v>
      </c>
      <c r="D27" s="205">
        <v>950</v>
      </c>
      <c r="E27" s="205">
        <v>2149</v>
      </c>
      <c r="F27" s="205">
        <v>385</v>
      </c>
      <c r="G27" s="205">
        <v>8</v>
      </c>
      <c r="H27" s="205">
        <v>10</v>
      </c>
      <c r="I27" s="205">
        <v>123</v>
      </c>
      <c r="J27" s="205">
        <v>19</v>
      </c>
      <c r="K27" s="213">
        <v>5</v>
      </c>
      <c r="L27" s="311">
        <v>25</v>
      </c>
      <c r="M27" s="205">
        <f>83+68+20+5+3</f>
        <v>179</v>
      </c>
      <c r="N27" s="205">
        <v>2</v>
      </c>
      <c r="O27" s="205">
        <v>5</v>
      </c>
      <c r="P27" s="205">
        <f>107+13+13+12+8+4+1+1</f>
        <v>159</v>
      </c>
      <c r="Q27" s="205">
        <f>7+5+4</f>
        <v>16</v>
      </c>
      <c r="R27" s="205">
        <f>22+10+6+12</f>
        <v>50</v>
      </c>
      <c r="S27" s="205">
        <v>4</v>
      </c>
      <c r="T27" s="205">
        <v>7</v>
      </c>
      <c r="U27" s="210">
        <f>1+1+1+1</f>
        <v>4</v>
      </c>
      <c r="V27" s="213"/>
      <c r="W27" s="255">
        <f t="shared" si="1"/>
        <v>9202</v>
      </c>
      <c r="Y27" s="494">
        <f>W22-W27</f>
        <v>7868</v>
      </c>
      <c r="Z27" s="503">
        <f>W27/$W$22</f>
        <v>0.53907439953134151</v>
      </c>
      <c r="AA27" s="789">
        <f>1-Z27</f>
        <v>0.46092560046865849</v>
      </c>
    </row>
    <row r="28" spans="1:27" ht="17.25" thickTop="1" thickBot="1" x14ac:dyDescent="0.3">
      <c r="A28" s="729"/>
      <c r="B28" s="217" t="s">
        <v>387</v>
      </c>
      <c r="C28" s="226">
        <v>1780</v>
      </c>
      <c r="D28" s="223">
        <v>1897</v>
      </c>
      <c r="E28" s="223">
        <v>3254</v>
      </c>
      <c r="F28" s="223">
        <v>380</v>
      </c>
      <c r="G28" s="223">
        <v>4</v>
      </c>
      <c r="H28" s="223"/>
      <c r="I28" s="223">
        <v>32</v>
      </c>
      <c r="J28" s="223">
        <v>2</v>
      </c>
      <c r="K28" s="211">
        <v>12</v>
      </c>
      <c r="L28" s="312">
        <v>7</v>
      </c>
      <c r="M28" s="223">
        <f>122+35+10+4+2</f>
        <v>173</v>
      </c>
      <c r="N28" s="223">
        <f>1+1</f>
        <v>2</v>
      </c>
      <c r="O28" s="223">
        <v>1</v>
      </c>
      <c r="P28" s="223">
        <f>44+7+6+3+2</f>
        <v>62</v>
      </c>
      <c r="Q28" s="223">
        <f>3+1</f>
        <v>4</v>
      </c>
      <c r="R28" s="223">
        <f>11+10+1+1</f>
        <v>23</v>
      </c>
      <c r="S28" s="223">
        <v>4</v>
      </c>
      <c r="T28" s="223">
        <v>1</v>
      </c>
      <c r="U28" s="207"/>
      <c r="V28" s="211">
        <v>34</v>
      </c>
      <c r="W28" s="256">
        <f t="shared" si="1"/>
        <v>7672</v>
      </c>
      <c r="X28" s="229"/>
      <c r="Y28" s="229"/>
      <c r="Z28" s="229"/>
      <c r="AA28" s="790"/>
    </row>
    <row r="29" spans="1:27" ht="17.25" thickTop="1" thickBot="1" x14ac:dyDescent="0.3">
      <c r="A29" s="731">
        <v>43311</v>
      </c>
      <c r="B29" s="221" t="s">
        <v>386</v>
      </c>
      <c r="C29" s="208">
        <v>4806</v>
      </c>
      <c r="D29" s="206">
        <v>848</v>
      </c>
      <c r="E29" s="206">
        <v>1855</v>
      </c>
      <c r="F29" s="206">
        <v>337</v>
      </c>
      <c r="G29" s="206">
        <v>7</v>
      </c>
      <c r="H29" s="206">
        <v>10</v>
      </c>
      <c r="I29" s="206">
        <v>114</v>
      </c>
      <c r="J29" s="206">
        <v>16</v>
      </c>
      <c r="K29" s="313">
        <v>4</v>
      </c>
      <c r="L29" s="309">
        <v>19</v>
      </c>
      <c r="M29" s="182">
        <v>137</v>
      </c>
      <c r="N29" s="182">
        <v>2</v>
      </c>
      <c r="O29" s="182">
        <v>4</v>
      </c>
      <c r="P29" s="182">
        <v>150</v>
      </c>
      <c r="Q29" s="182">
        <v>16</v>
      </c>
      <c r="R29" s="182">
        <v>48</v>
      </c>
      <c r="S29" s="182">
        <v>4</v>
      </c>
      <c r="T29" s="182">
        <v>7</v>
      </c>
      <c r="U29" s="183">
        <v>4</v>
      </c>
      <c r="V29" s="214"/>
      <c r="W29" s="253">
        <f t="shared" si="1"/>
        <v>8388</v>
      </c>
      <c r="Y29" s="493">
        <f>W22-W29</f>
        <v>8682</v>
      </c>
      <c r="Z29" s="503">
        <f>W29/$W$22</f>
        <v>0.49138840070298767</v>
      </c>
      <c r="AA29" s="789">
        <f>1-Z29</f>
        <v>0.50861159929701238</v>
      </c>
    </row>
    <row r="30" spans="1:27" ht="17.25" thickTop="1" thickBot="1" x14ac:dyDescent="0.3">
      <c r="A30" s="732"/>
      <c r="B30" s="250" t="s">
        <v>387</v>
      </c>
      <c r="C30" s="251">
        <v>2042</v>
      </c>
      <c r="D30" s="252">
        <v>1988</v>
      </c>
      <c r="E30" s="252">
        <v>3541</v>
      </c>
      <c r="F30" s="252">
        <v>420</v>
      </c>
      <c r="G30" s="252">
        <v>5</v>
      </c>
      <c r="H30" s="252"/>
      <c r="I30" s="252">
        <v>41</v>
      </c>
      <c r="J30" s="252">
        <v>5</v>
      </c>
      <c r="K30" s="314">
        <v>13</v>
      </c>
      <c r="L30" s="310">
        <v>13</v>
      </c>
      <c r="M30" s="180">
        <v>216</v>
      </c>
      <c r="N30" s="180">
        <v>1</v>
      </c>
      <c r="O30" s="180">
        <v>2</v>
      </c>
      <c r="P30" s="180">
        <v>71</v>
      </c>
      <c r="Q30" s="180">
        <v>4</v>
      </c>
      <c r="R30" s="180">
        <v>26</v>
      </c>
      <c r="S30" s="180">
        <v>4</v>
      </c>
      <c r="T30" s="180">
        <v>1</v>
      </c>
      <c r="U30" s="181">
        <v>1</v>
      </c>
      <c r="V30" s="209">
        <v>34</v>
      </c>
      <c r="W30" s="254">
        <f t="shared" si="1"/>
        <v>8428</v>
      </c>
      <c r="X30" s="229"/>
      <c r="Y30" s="229"/>
      <c r="Z30" s="229"/>
      <c r="AA30" s="790"/>
    </row>
    <row r="31" spans="1:27" ht="17.25" thickTop="1" thickBot="1" x14ac:dyDescent="0.3">
      <c r="A31" s="728">
        <v>43342</v>
      </c>
      <c r="B31" s="219" t="s">
        <v>386</v>
      </c>
      <c r="C31" s="215">
        <v>3573</v>
      </c>
      <c r="D31" s="205">
        <v>637</v>
      </c>
      <c r="E31" s="205">
        <v>1338</v>
      </c>
      <c r="F31" s="205">
        <v>321</v>
      </c>
      <c r="G31" s="205">
        <v>7</v>
      </c>
      <c r="H31" s="205">
        <v>6</v>
      </c>
      <c r="I31" s="205">
        <v>108</v>
      </c>
      <c r="J31" s="205">
        <v>15</v>
      </c>
      <c r="K31" s="213">
        <v>4</v>
      </c>
      <c r="L31" s="311">
        <v>19</v>
      </c>
      <c r="M31" s="205">
        <v>134</v>
      </c>
      <c r="N31" s="205">
        <v>3</v>
      </c>
      <c r="O31" s="205">
        <v>4</v>
      </c>
      <c r="P31" s="205">
        <v>142</v>
      </c>
      <c r="Q31" s="205">
        <v>14</v>
      </c>
      <c r="R31" s="205">
        <v>48</v>
      </c>
      <c r="S31" s="205">
        <v>4</v>
      </c>
      <c r="T31" s="205">
        <v>5</v>
      </c>
      <c r="U31" s="210">
        <v>3</v>
      </c>
      <c r="V31" s="213"/>
      <c r="W31" s="255">
        <f t="shared" ref="W31:W36" si="2">SUM(C31:V31)</f>
        <v>6385</v>
      </c>
      <c r="Y31" s="494">
        <f>W22-W31</f>
        <v>10685</v>
      </c>
      <c r="Z31" s="503">
        <f>W31/$W$22</f>
        <v>0.37404803749267723</v>
      </c>
      <c r="AA31" s="789">
        <f>1-Z31</f>
        <v>0.62595196250732277</v>
      </c>
    </row>
    <row r="32" spans="1:27" ht="17.25" thickTop="1" thickBot="1" x14ac:dyDescent="0.3">
      <c r="A32" s="729"/>
      <c r="B32" s="217" t="s">
        <v>387</v>
      </c>
      <c r="C32" s="226">
        <v>2863</v>
      </c>
      <c r="D32" s="223">
        <v>2172</v>
      </c>
      <c r="E32" s="223">
        <v>3992</v>
      </c>
      <c r="F32" s="223">
        <v>437</v>
      </c>
      <c r="G32" s="223">
        <v>5</v>
      </c>
      <c r="H32" s="223">
        <v>5</v>
      </c>
      <c r="I32" s="223">
        <v>50</v>
      </c>
      <c r="J32" s="223">
        <v>5</v>
      </c>
      <c r="K32" s="211">
        <v>13</v>
      </c>
      <c r="L32" s="312">
        <v>13</v>
      </c>
      <c r="M32" s="223">
        <v>218</v>
      </c>
      <c r="N32" s="223">
        <v>2</v>
      </c>
      <c r="O32" s="223">
        <v>2</v>
      </c>
      <c r="P32" s="223">
        <v>80</v>
      </c>
      <c r="Q32" s="223">
        <v>6</v>
      </c>
      <c r="R32" s="223">
        <v>27</v>
      </c>
      <c r="S32" s="223">
        <v>4</v>
      </c>
      <c r="T32" s="223">
        <v>5</v>
      </c>
      <c r="U32" s="207"/>
      <c r="V32" s="211">
        <v>34</v>
      </c>
      <c r="W32" s="256">
        <f t="shared" si="2"/>
        <v>9933</v>
      </c>
      <c r="Y32" s="229"/>
      <c r="Z32" s="229"/>
      <c r="AA32" s="790"/>
    </row>
    <row r="33" spans="1:27" ht="17.25" thickTop="1" thickBot="1" x14ac:dyDescent="0.3">
      <c r="A33" s="731">
        <v>43373</v>
      </c>
      <c r="B33" s="221" t="s">
        <v>386</v>
      </c>
      <c r="C33" s="208">
        <v>3036</v>
      </c>
      <c r="D33" s="206">
        <v>533</v>
      </c>
      <c r="E33" s="206">
        <v>1233</v>
      </c>
      <c r="F33" s="206">
        <v>287</v>
      </c>
      <c r="G33" s="206">
        <v>6</v>
      </c>
      <c r="H33" s="206">
        <v>2</v>
      </c>
      <c r="I33" s="206">
        <v>108</v>
      </c>
      <c r="J33" s="206">
        <v>13</v>
      </c>
      <c r="K33" s="313">
        <v>3</v>
      </c>
      <c r="L33" s="309">
        <v>19</v>
      </c>
      <c r="M33" s="182">
        <v>132</v>
      </c>
      <c r="N33" s="182">
        <v>2</v>
      </c>
      <c r="O33" s="182">
        <v>1</v>
      </c>
      <c r="P33" s="182">
        <v>142</v>
      </c>
      <c r="Q33" s="182">
        <v>14</v>
      </c>
      <c r="R33" s="182">
        <v>48</v>
      </c>
      <c r="S33" s="182">
        <v>4</v>
      </c>
      <c r="T33" s="182">
        <v>5</v>
      </c>
      <c r="U33" s="183">
        <v>4</v>
      </c>
      <c r="V33" s="214"/>
      <c r="W33" s="253">
        <f t="shared" si="2"/>
        <v>5592</v>
      </c>
      <c r="Y33" s="493">
        <f>W22-W33</f>
        <v>11478</v>
      </c>
      <c r="Z33" s="503">
        <f>W33/$W$22</f>
        <v>0.32759226713532513</v>
      </c>
      <c r="AA33" s="789">
        <f>1-Z33</f>
        <v>0.67240773286467492</v>
      </c>
    </row>
    <row r="34" spans="1:27" s="229" customFormat="1" ht="17.25" thickTop="1" thickBot="1" x14ac:dyDescent="0.3">
      <c r="A34" s="732"/>
      <c r="B34" s="250" t="s">
        <v>387</v>
      </c>
      <c r="C34" s="251">
        <v>3539</v>
      </c>
      <c r="D34" s="252">
        <v>2976</v>
      </c>
      <c r="E34" s="252">
        <v>1856</v>
      </c>
      <c r="F34" s="252">
        <v>535</v>
      </c>
      <c r="G34" s="252">
        <v>10</v>
      </c>
      <c r="H34" s="252">
        <v>22</v>
      </c>
      <c r="I34" s="252">
        <v>94</v>
      </c>
      <c r="J34" s="252">
        <v>69</v>
      </c>
      <c r="K34" s="314">
        <v>42</v>
      </c>
      <c r="L34" s="310">
        <v>11</v>
      </c>
      <c r="M34" s="180">
        <v>431</v>
      </c>
      <c r="N34" s="180">
        <v>1</v>
      </c>
      <c r="O34" s="180">
        <v>8</v>
      </c>
      <c r="P34" s="180">
        <v>553</v>
      </c>
      <c r="Q34" s="180">
        <v>12</v>
      </c>
      <c r="R34" s="180">
        <v>249</v>
      </c>
      <c r="S34" s="180">
        <v>3</v>
      </c>
      <c r="T34" s="180">
        <v>35</v>
      </c>
      <c r="U34" s="181"/>
      <c r="V34" s="209">
        <v>8</v>
      </c>
      <c r="W34" s="254">
        <f t="shared" si="2"/>
        <v>10454</v>
      </c>
      <c r="AA34" s="790"/>
    </row>
    <row r="35" spans="1:27" s="229" customFormat="1" ht="17.25" thickTop="1" thickBot="1" x14ac:dyDescent="0.3">
      <c r="A35" s="728">
        <v>43403</v>
      </c>
      <c r="B35" s="219" t="s">
        <v>386</v>
      </c>
      <c r="C35" s="215">
        <v>2114</v>
      </c>
      <c r="D35" s="205">
        <v>282</v>
      </c>
      <c r="E35" s="205">
        <v>714</v>
      </c>
      <c r="F35" s="205">
        <v>237</v>
      </c>
      <c r="G35" s="205">
        <v>3</v>
      </c>
      <c r="H35" s="205">
        <v>1</v>
      </c>
      <c r="I35" s="205">
        <v>68</v>
      </c>
      <c r="J35" s="205">
        <v>12</v>
      </c>
      <c r="K35" s="213">
        <v>3</v>
      </c>
      <c r="L35" s="311">
        <v>13</v>
      </c>
      <c r="M35" s="205">
        <v>96</v>
      </c>
      <c r="N35" s="205">
        <v>2</v>
      </c>
      <c r="O35" s="205">
        <v>1</v>
      </c>
      <c r="P35" s="205">
        <v>109</v>
      </c>
      <c r="Q35" s="205">
        <v>9</v>
      </c>
      <c r="R35" s="205">
        <v>48</v>
      </c>
      <c r="S35" s="205">
        <v>1</v>
      </c>
      <c r="T35" s="205">
        <v>4</v>
      </c>
      <c r="U35" s="210">
        <v>4</v>
      </c>
      <c r="V35" s="213">
        <v>0</v>
      </c>
      <c r="W35" s="255">
        <f t="shared" si="2"/>
        <v>3721</v>
      </c>
      <c r="X35" s="9"/>
      <c r="Y35" s="494">
        <f>W22-W35</f>
        <v>13349</v>
      </c>
      <c r="Z35" s="503">
        <f>W35/$W$22</f>
        <v>0.21798476859988283</v>
      </c>
      <c r="AA35" s="789">
        <f>1-Z35</f>
        <v>0.78201523140011719</v>
      </c>
    </row>
    <row r="36" spans="1:27" ht="17.25" thickTop="1" thickBot="1" x14ac:dyDescent="0.3">
      <c r="A36" s="729"/>
      <c r="B36" s="217" t="s">
        <v>387</v>
      </c>
      <c r="C36" s="226">
        <v>3988</v>
      </c>
      <c r="D36" s="223">
        <v>2417</v>
      </c>
      <c r="E36" s="223">
        <v>4530</v>
      </c>
      <c r="F36" s="223">
        <v>505</v>
      </c>
      <c r="G36" s="223">
        <v>9</v>
      </c>
      <c r="H36" s="223">
        <v>10</v>
      </c>
      <c r="I36" s="223">
        <v>60</v>
      </c>
      <c r="J36" s="223">
        <v>8</v>
      </c>
      <c r="K36" s="211">
        <v>15</v>
      </c>
      <c r="L36" s="312">
        <v>19</v>
      </c>
      <c r="M36" s="223">
        <v>256</v>
      </c>
      <c r="N36" s="223">
        <v>2</v>
      </c>
      <c r="O36" s="223">
        <v>5</v>
      </c>
      <c r="P36" s="223">
        <v>112</v>
      </c>
      <c r="Q36" s="223">
        <v>11</v>
      </c>
      <c r="R36" s="223">
        <v>27</v>
      </c>
      <c r="S36" s="223">
        <v>7</v>
      </c>
      <c r="T36" s="223">
        <v>6</v>
      </c>
      <c r="U36" s="207">
        <v>0</v>
      </c>
      <c r="V36" s="211">
        <v>34</v>
      </c>
      <c r="W36" s="256">
        <f t="shared" si="2"/>
        <v>12021</v>
      </c>
      <c r="Y36" s="229"/>
      <c r="AA36" s="790"/>
    </row>
    <row r="37" spans="1:27" ht="17.25" thickTop="1" thickBot="1" x14ac:dyDescent="0.3">
      <c r="A37" s="731">
        <v>43446</v>
      </c>
      <c r="B37" s="221" t="s">
        <v>386</v>
      </c>
      <c r="C37" s="208">
        <v>1094</v>
      </c>
      <c r="D37" s="206">
        <v>88</v>
      </c>
      <c r="E37" s="206">
        <v>306</v>
      </c>
      <c r="F37" s="206">
        <v>54</v>
      </c>
      <c r="G37" s="206">
        <v>3</v>
      </c>
      <c r="H37" s="206">
        <v>0</v>
      </c>
      <c r="I37" s="206">
        <v>58</v>
      </c>
      <c r="J37" s="206">
        <v>7</v>
      </c>
      <c r="K37" s="313">
        <v>1</v>
      </c>
      <c r="L37" s="309">
        <v>8</v>
      </c>
      <c r="M37" s="182">
        <v>13</v>
      </c>
      <c r="N37" s="182">
        <v>2</v>
      </c>
      <c r="O37" s="182">
        <v>1</v>
      </c>
      <c r="P37" s="182">
        <v>47</v>
      </c>
      <c r="Q37" s="182">
        <v>5</v>
      </c>
      <c r="R37" s="182">
        <v>24</v>
      </c>
      <c r="S37" s="182">
        <v>1</v>
      </c>
      <c r="T37" s="182">
        <v>2</v>
      </c>
      <c r="U37" s="183">
        <v>0</v>
      </c>
      <c r="V37" s="214">
        <v>0</v>
      </c>
      <c r="W37" s="253">
        <v>1714</v>
      </c>
      <c r="Y37" s="494">
        <f>W22-W37</f>
        <v>15356</v>
      </c>
      <c r="Z37" s="503">
        <f>W37/$W$22</f>
        <v>0.10041007615700058</v>
      </c>
      <c r="AA37" s="789">
        <f>1-Z37</f>
        <v>0.89958992384299941</v>
      </c>
    </row>
    <row r="38" spans="1:27" ht="16.5" thickTop="1" thickBot="1" x14ac:dyDescent="0.3">
      <c r="A38" s="732"/>
      <c r="B38" s="250" t="s">
        <v>387</v>
      </c>
      <c r="C38" s="251">
        <v>5005</v>
      </c>
      <c r="D38" s="252">
        <v>2721</v>
      </c>
      <c r="E38" s="252">
        <v>4933</v>
      </c>
      <c r="F38" s="252">
        <v>663</v>
      </c>
      <c r="G38" s="252">
        <v>9</v>
      </c>
      <c r="H38" s="252">
        <v>10</v>
      </c>
      <c r="I38" s="252">
        <v>68</v>
      </c>
      <c r="J38" s="252">
        <v>11</v>
      </c>
      <c r="K38" s="314">
        <v>17</v>
      </c>
      <c r="L38" s="310">
        <v>24</v>
      </c>
      <c r="M38" s="180">
        <v>313</v>
      </c>
      <c r="N38" s="180">
        <v>2</v>
      </c>
      <c r="O38" s="180">
        <v>5</v>
      </c>
      <c r="P38" s="180">
        <v>167</v>
      </c>
      <c r="Q38" s="180">
        <v>15</v>
      </c>
      <c r="R38" s="180">
        <v>50</v>
      </c>
      <c r="S38" s="180">
        <v>7</v>
      </c>
      <c r="T38" s="180">
        <v>8</v>
      </c>
      <c r="U38" s="181">
        <v>1</v>
      </c>
      <c r="V38" s="209">
        <v>34</v>
      </c>
      <c r="W38" s="254">
        <v>14063</v>
      </c>
      <c r="X38" s="40"/>
    </row>
    <row r="39" spans="1:27" ht="15.75" thickTop="1" x14ac:dyDescent="0.25">
      <c r="Q39" s="9"/>
      <c r="X39" s="40"/>
    </row>
    <row r="40" spans="1:27" s="866" customFormat="1" x14ac:dyDescent="0.25">
      <c r="Q40" s="867"/>
      <c r="Y40" s="308"/>
    </row>
    <row r="41" spans="1:27" s="866" customFormat="1" x14ac:dyDescent="0.25">
      <c r="B41" s="866" t="s">
        <v>164</v>
      </c>
      <c r="L41" s="866" t="s">
        <v>165</v>
      </c>
      <c r="Q41" s="867"/>
    </row>
    <row r="42" spans="1:27" s="866" customFormat="1" x14ac:dyDescent="0.25">
      <c r="B42" s="866" t="s">
        <v>6</v>
      </c>
      <c r="C42" s="866" t="s">
        <v>8</v>
      </c>
      <c r="D42" s="866" t="s">
        <v>4</v>
      </c>
      <c r="E42" s="866" t="s">
        <v>382</v>
      </c>
      <c r="F42" s="866" t="s">
        <v>404</v>
      </c>
      <c r="G42" s="866" t="s">
        <v>405</v>
      </c>
      <c r="H42" s="866" t="s">
        <v>406</v>
      </c>
      <c r="I42" s="866" t="s">
        <v>2</v>
      </c>
      <c r="J42" s="866" t="s">
        <v>407</v>
      </c>
      <c r="L42" s="866" t="s">
        <v>9</v>
      </c>
      <c r="M42" s="866" t="s">
        <v>8</v>
      </c>
      <c r="N42" s="866" t="s">
        <v>382</v>
      </c>
      <c r="O42" s="866" t="s">
        <v>7</v>
      </c>
      <c r="P42" s="866" t="s">
        <v>6</v>
      </c>
      <c r="Q42" s="867" t="s">
        <v>5</v>
      </c>
      <c r="R42" s="866" t="s">
        <v>4</v>
      </c>
      <c r="S42" s="866" t="s">
        <v>402</v>
      </c>
      <c r="T42" s="866" t="s">
        <v>3</v>
      </c>
      <c r="U42" s="866" t="s">
        <v>2</v>
      </c>
      <c r="V42" s="866" t="s">
        <v>403</v>
      </c>
    </row>
    <row r="43" spans="1:27" s="866" customFormat="1" x14ac:dyDescent="0.25">
      <c r="A43" s="866" t="s">
        <v>0</v>
      </c>
      <c r="B43" s="866">
        <v>6850</v>
      </c>
      <c r="C43" s="866">
        <v>3648</v>
      </c>
      <c r="D43" s="866">
        <v>4997</v>
      </c>
      <c r="E43" s="866">
        <v>679</v>
      </c>
      <c r="F43" s="866">
        <v>12</v>
      </c>
      <c r="G43" s="866">
        <v>10</v>
      </c>
      <c r="H43" s="866">
        <v>148</v>
      </c>
      <c r="I43" s="866">
        <v>20</v>
      </c>
      <c r="J43" s="866">
        <v>17</v>
      </c>
      <c r="K43" s="866" t="s">
        <v>0</v>
      </c>
      <c r="L43" s="866">
        <v>28</v>
      </c>
      <c r="M43" s="866">
        <v>341</v>
      </c>
      <c r="N43" s="866">
        <v>2</v>
      </c>
      <c r="O43" s="866">
        <v>7</v>
      </c>
      <c r="P43" s="866">
        <v>215</v>
      </c>
      <c r="Q43" s="867">
        <v>17</v>
      </c>
      <c r="R43" s="866">
        <v>61</v>
      </c>
      <c r="S43" s="866">
        <v>6</v>
      </c>
      <c r="T43" s="866">
        <v>8</v>
      </c>
      <c r="U43" s="866">
        <v>4</v>
      </c>
      <c r="V43" s="866">
        <v>0</v>
      </c>
    </row>
    <row r="44" spans="1:27" s="866" customFormat="1" x14ac:dyDescent="0.25">
      <c r="A44" s="866" t="s">
        <v>386</v>
      </c>
      <c r="B44" s="866">
        <v>1094</v>
      </c>
      <c r="C44" s="866">
        <v>88</v>
      </c>
      <c r="D44" s="866">
        <v>306</v>
      </c>
      <c r="E44" s="866">
        <v>54</v>
      </c>
      <c r="F44" s="866">
        <v>3</v>
      </c>
      <c r="G44" s="866">
        <v>0</v>
      </c>
      <c r="H44" s="866">
        <v>58</v>
      </c>
      <c r="I44" s="866">
        <v>7</v>
      </c>
      <c r="J44" s="866">
        <v>1</v>
      </c>
      <c r="K44" s="866" t="s">
        <v>386</v>
      </c>
      <c r="L44" s="866">
        <v>8</v>
      </c>
      <c r="M44" s="866">
        <v>13</v>
      </c>
      <c r="N44" s="866">
        <v>2</v>
      </c>
      <c r="O44" s="866">
        <v>1</v>
      </c>
      <c r="P44" s="866">
        <v>47</v>
      </c>
      <c r="Q44" s="867">
        <v>5</v>
      </c>
      <c r="R44" s="866">
        <v>24</v>
      </c>
      <c r="S44" s="866">
        <v>1</v>
      </c>
      <c r="T44" s="866">
        <v>2</v>
      </c>
      <c r="U44" s="866">
        <v>0</v>
      </c>
      <c r="V44" s="866">
        <v>0</v>
      </c>
    </row>
    <row r="45" spans="1:27" s="866" customFormat="1" x14ac:dyDescent="0.25">
      <c r="Q45" s="867"/>
    </row>
    <row r="46" spans="1:27" s="866" customFormat="1" x14ac:dyDescent="0.25">
      <c r="Q46" s="867"/>
    </row>
    <row r="47" spans="1:27" s="866" customFormat="1" x14ac:dyDescent="0.25">
      <c r="Q47" s="867"/>
    </row>
    <row r="48" spans="1:27" s="866" customFormat="1" x14ac:dyDescent="0.25">
      <c r="Q48" s="867"/>
    </row>
    <row r="49" spans="17:24" s="866" customFormat="1" x14ac:dyDescent="0.25">
      <c r="Q49" s="867"/>
    </row>
    <row r="50" spans="17:24" x14ac:dyDescent="0.25">
      <c r="Q50" s="9"/>
      <c r="X50" s="40"/>
    </row>
    <row r="51" spans="17:24" x14ac:dyDescent="0.25">
      <c r="Q51" s="9"/>
      <c r="X51" s="40"/>
    </row>
    <row r="52" spans="17:24" x14ac:dyDescent="0.25">
      <c r="Q52" s="9"/>
      <c r="X52" s="40"/>
    </row>
    <row r="53" spans="17:24" x14ac:dyDescent="0.25">
      <c r="Q53" s="9"/>
      <c r="X53" s="40"/>
    </row>
    <row r="54" spans="17:24" x14ac:dyDescent="0.25">
      <c r="Q54" s="9"/>
      <c r="X54" s="40"/>
    </row>
  </sheetData>
  <mergeCells count="15">
    <mergeCell ref="A37:A38"/>
    <mergeCell ref="A35:A36"/>
    <mergeCell ref="AA23:AA24"/>
    <mergeCell ref="Z23:Z24"/>
    <mergeCell ref="B24:C24"/>
    <mergeCell ref="A25:A26"/>
    <mergeCell ref="A27:A28"/>
    <mergeCell ref="A29:A30"/>
    <mergeCell ref="A31:A32"/>
    <mergeCell ref="A33:A34"/>
    <mergeCell ref="B11:W12"/>
    <mergeCell ref="A6:V6"/>
    <mergeCell ref="C13:K13"/>
    <mergeCell ref="L13:V13"/>
    <mergeCell ref="Y23:Y24"/>
  </mergeCells>
  <pageMargins left="0.7" right="0.7" top="0.75" bottom="0.75" header="0.3" footer="0.3"/>
  <pageSetup orientation="portrait" verticalDpi="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99"/>
  </sheetPr>
  <dimension ref="A1:AZ141"/>
  <sheetViews>
    <sheetView zoomScale="50" zoomScaleNormal="50" workbookViewId="0">
      <selection activeCell="J9" sqref="J9:K9"/>
    </sheetView>
  </sheetViews>
  <sheetFormatPr baseColWidth="10" defaultRowHeight="18.75" x14ac:dyDescent="0.3"/>
  <cols>
    <col min="1" max="1" width="39.5703125" style="229" customWidth="1"/>
    <col min="2" max="2" width="12.7109375" style="229" bestFit="1" customWidth="1"/>
    <col min="3" max="3" width="13.85546875" style="229" bestFit="1" customWidth="1"/>
    <col min="4" max="5" width="8.28515625" style="229" bestFit="1" customWidth="1"/>
    <col min="6" max="6" width="11" style="229" bestFit="1" customWidth="1"/>
    <col min="7" max="7" width="12.7109375" style="229" bestFit="1" customWidth="1"/>
    <col min="8" max="8" width="12.42578125" style="229" bestFit="1" customWidth="1"/>
    <col min="9" max="9" width="12.140625" style="229" bestFit="1" customWidth="1"/>
    <col min="10" max="10" width="9.85546875" style="229" bestFit="1" customWidth="1"/>
    <col min="11" max="11" width="12.140625" style="108" bestFit="1" customWidth="1"/>
    <col min="12" max="12" width="11.42578125" style="229"/>
    <col min="13" max="13" width="56.7109375" style="229" customWidth="1"/>
    <col min="14" max="14" width="8.28515625" style="229" bestFit="1" customWidth="1"/>
    <col min="15" max="15" width="8.42578125" style="229" bestFit="1" customWidth="1"/>
    <col min="16" max="16" width="9.7109375" style="229" bestFit="1" customWidth="1"/>
    <col min="17" max="17" width="10.5703125" style="229" bestFit="1" customWidth="1"/>
    <col min="18" max="18" width="10.7109375" style="229" bestFit="1" customWidth="1"/>
    <col min="19" max="19" width="11.7109375" style="229" bestFit="1" customWidth="1"/>
    <col min="20" max="20" width="11.85546875" style="229" bestFit="1" customWidth="1"/>
    <col min="21" max="21" width="12.42578125" style="229" bestFit="1" customWidth="1"/>
    <col min="22" max="22" width="11.42578125" style="229"/>
    <col min="23" max="23" width="44.5703125" style="229" customWidth="1"/>
    <col min="24" max="27" width="8.28515625" style="229" bestFit="1" customWidth="1"/>
    <col min="28" max="29" width="9.5703125" style="229" bestFit="1" customWidth="1"/>
    <col min="30" max="30" width="11.5703125" style="229" bestFit="1" customWidth="1"/>
    <col min="31" max="31" width="12.140625" style="229" customWidth="1"/>
    <col min="32" max="32" width="11.42578125" style="229"/>
    <col min="33" max="33" width="59.28515625" style="229" customWidth="1"/>
    <col min="34" max="35" width="8.140625" style="229" customWidth="1"/>
    <col min="36" max="36" width="11.5703125" style="229" customWidth="1"/>
    <col min="37" max="39" width="11.42578125" style="229"/>
    <col min="40" max="40" width="12.42578125" style="229" bestFit="1" customWidth="1"/>
    <col min="41" max="41" width="8.140625" style="229" customWidth="1"/>
    <col min="42" max="42" width="69.5703125" style="229" customWidth="1"/>
    <col min="43" max="46" width="8.140625" style="229" customWidth="1"/>
    <col min="47" max="47" width="11.28515625" style="229" customWidth="1"/>
    <col min="48" max="50" width="11.42578125" style="229"/>
    <col min="51" max="51" width="12.42578125" style="229" bestFit="1" customWidth="1"/>
    <col min="52" max="16384" width="11.42578125" style="229"/>
  </cols>
  <sheetData>
    <row r="1" spans="1:52" x14ac:dyDescent="0.3">
      <c r="A1" s="2" t="s">
        <v>15</v>
      </c>
    </row>
    <row r="2" spans="1:52" x14ac:dyDescent="0.3">
      <c r="A2" s="2" t="s">
        <v>16</v>
      </c>
      <c r="J2" s="229" t="s">
        <v>411</v>
      </c>
      <c r="K2" s="531">
        <f>+T16/I16</f>
        <v>0.84842145026079119</v>
      </c>
      <c r="AY2" s="532"/>
    </row>
    <row r="3" spans="1:52" x14ac:dyDescent="0.3">
      <c r="A3" s="2" t="s">
        <v>17</v>
      </c>
      <c r="J3" s="229" t="s">
        <v>412</v>
      </c>
      <c r="K3" s="531">
        <f>AD16/I16</f>
        <v>5.9190166935448721E-2</v>
      </c>
      <c r="L3" s="502"/>
    </row>
    <row r="4" spans="1:52" x14ac:dyDescent="0.3">
      <c r="A4" s="2" t="s">
        <v>18</v>
      </c>
      <c r="E4" s="109"/>
      <c r="J4" s="229" t="s">
        <v>413</v>
      </c>
      <c r="K4" s="531">
        <f>AM16/I16</f>
        <v>1.4848392392741432E-2</v>
      </c>
    </row>
    <row r="5" spans="1:52" ht="19.5" thickBot="1" x14ac:dyDescent="0.35">
      <c r="A5" s="7"/>
      <c r="J5" s="229" t="s">
        <v>66</v>
      </c>
      <c r="K5" s="531">
        <f>AX16/I16</f>
        <v>7.7539990411018611E-2</v>
      </c>
    </row>
    <row r="6" spans="1:52" ht="22.5" thickTop="1" thickBot="1" x14ac:dyDescent="0.4">
      <c r="A6" s="733" t="s">
        <v>236</v>
      </c>
      <c r="B6" s="734"/>
      <c r="C6" s="734"/>
      <c r="D6" s="734"/>
      <c r="E6" s="734"/>
      <c r="F6" s="734"/>
      <c r="G6" s="734"/>
      <c r="H6" s="734"/>
      <c r="I6" s="735"/>
      <c r="M6" s="736" t="s">
        <v>188</v>
      </c>
      <c r="N6" s="737"/>
      <c r="O6" s="737"/>
      <c r="P6" s="737"/>
      <c r="Q6" s="737"/>
      <c r="R6" s="737"/>
      <c r="S6" s="737"/>
      <c r="T6" s="738"/>
      <c r="W6" s="736" t="s">
        <v>189</v>
      </c>
      <c r="X6" s="737"/>
      <c r="Y6" s="737"/>
      <c r="Z6" s="737"/>
      <c r="AA6" s="737"/>
      <c r="AB6" s="737"/>
      <c r="AC6" s="737"/>
      <c r="AD6" s="738"/>
      <c r="AG6" s="736" t="s">
        <v>244</v>
      </c>
      <c r="AH6" s="737"/>
      <c r="AI6" s="737"/>
      <c r="AJ6" s="737"/>
      <c r="AK6" s="737"/>
      <c r="AL6" s="737"/>
      <c r="AM6" s="738"/>
      <c r="AP6" s="736" t="s">
        <v>190</v>
      </c>
      <c r="AQ6" s="737"/>
      <c r="AR6" s="737"/>
      <c r="AS6" s="737"/>
      <c r="AT6" s="737"/>
      <c r="AU6" s="737"/>
      <c r="AV6" s="737"/>
      <c r="AW6" s="737"/>
      <c r="AX6" s="738"/>
    </row>
    <row r="7" spans="1:52" ht="20.25" thickTop="1" thickBot="1" x14ac:dyDescent="0.35"/>
    <row r="8" spans="1:52" ht="20.25" thickTop="1" thickBot="1" x14ac:dyDescent="0.35">
      <c r="A8" s="147" t="s">
        <v>234</v>
      </c>
      <c r="B8" s="839">
        <v>2012</v>
      </c>
      <c r="C8" s="840">
        <v>2013</v>
      </c>
      <c r="D8" s="840">
        <v>2014</v>
      </c>
      <c r="E8" s="840">
        <v>2015</v>
      </c>
      <c r="F8" s="840">
        <v>2016</v>
      </c>
      <c r="G8" s="840">
        <v>2017</v>
      </c>
      <c r="H8" s="841">
        <v>2018</v>
      </c>
      <c r="I8" s="842" t="s">
        <v>82</v>
      </c>
      <c r="M8" s="147" t="s">
        <v>242</v>
      </c>
      <c r="N8" s="301">
        <v>2013</v>
      </c>
      <c r="O8" s="302">
        <v>2014</v>
      </c>
      <c r="P8" s="302">
        <v>2015</v>
      </c>
      <c r="Q8" s="302">
        <v>2016</v>
      </c>
      <c r="R8" s="302">
        <v>2017</v>
      </c>
      <c r="S8" s="303">
        <v>2018</v>
      </c>
      <c r="T8" s="304" t="s">
        <v>82</v>
      </c>
      <c r="W8" s="147" t="s">
        <v>243</v>
      </c>
      <c r="X8" s="301">
        <v>2013</v>
      </c>
      <c r="Y8" s="302">
        <v>2014</v>
      </c>
      <c r="Z8" s="302">
        <v>2015</v>
      </c>
      <c r="AA8" s="302">
        <v>2016</v>
      </c>
      <c r="AB8" s="302">
        <v>2017</v>
      </c>
      <c r="AC8" s="303">
        <v>2018</v>
      </c>
      <c r="AD8" s="304" t="s">
        <v>82</v>
      </c>
      <c r="AG8" s="147" t="s">
        <v>245</v>
      </c>
      <c r="AH8" s="411">
        <v>2014</v>
      </c>
      <c r="AI8" s="411">
        <v>2015</v>
      </c>
      <c r="AJ8" s="411">
        <v>2016</v>
      </c>
      <c r="AK8" s="411">
        <v>2017</v>
      </c>
      <c r="AL8" s="412">
        <v>2018</v>
      </c>
      <c r="AM8" s="413" t="s">
        <v>82</v>
      </c>
      <c r="AP8" s="147" t="s">
        <v>246</v>
      </c>
      <c r="AQ8" s="301">
        <v>2012</v>
      </c>
      <c r="AR8" s="302">
        <v>2013</v>
      </c>
      <c r="AS8" s="302">
        <v>2014</v>
      </c>
      <c r="AT8" s="302">
        <v>2015</v>
      </c>
      <c r="AU8" s="302">
        <v>2016</v>
      </c>
      <c r="AV8" s="302">
        <v>2017</v>
      </c>
      <c r="AW8" s="303">
        <v>2018</v>
      </c>
      <c r="AX8" s="304" t="s">
        <v>82</v>
      </c>
    </row>
    <row r="9" spans="1:52" ht="15.75" thickTop="1" x14ac:dyDescent="0.25">
      <c r="A9" s="268" t="s">
        <v>235</v>
      </c>
      <c r="B9" s="388">
        <v>1</v>
      </c>
      <c r="C9" s="388">
        <v>3</v>
      </c>
      <c r="D9" s="388">
        <v>10</v>
      </c>
      <c r="E9" s="388">
        <v>34</v>
      </c>
      <c r="F9" s="388">
        <v>17022</v>
      </c>
      <c r="G9" s="388">
        <v>45966</v>
      </c>
      <c r="H9" s="530">
        <v>0</v>
      </c>
      <c r="I9" s="389">
        <f>SUM(B9:H9)</f>
        <v>63036</v>
      </c>
      <c r="J9" s="861">
        <f>SUM(B9:F9)</f>
        <v>17070</v>
      </c>
      <c r="K9" s="862">
        <f t="shared" ref="K9:K14" si="0">J9/$J$9</f>
        <v>1</v>
      </c>
      <c r="L9" s="502"/>
      <c r="M9" s="305" t="s">
        <v>235</v>
      </c>
      <c r="N9" s="377">
        <v>1</v>
      </c>
      <c r="O9" s="378">
        <v>1</v>
      </c>
      <c r="P9" s="378">
        <v>8</v>
      </c>
      <c r="Q9" s="378">
        <v>15485</v>
      </c>
      <c r="R9" s="378">
        <v>38033</v>
      </c>
      <c r="S9" s="530">
        <v>0</v>
      </c>
      <c r="T9" s="380">
        <f t="shared" ref="T9:T14" si="1">SUM(O9:S9)</f>
        <v>53527</v>
      </c>
      <c r="U9" s="861">
        <f>SUM(N9:Q9)</f>
        <v>15495</v>
      </c>
      <c r="V9" s="862">
        <f t="shared" ref="V9:V17" si="2">U9/$U$9</f>
        <v>1</v>
      </c>
      <c r="W9" s="305" t="s">
        <v>235</v>
      </c>
      <c r="X9" s="449">
        <v>1</v>
      </c>
      <c r="Y9" s="449">
        <v>5</v>
      </c>
      <c r="Z9" s="449">
        <v>15</v>
      </c>
      <c r="AA9" s="449">
        <v>658</v>
      </c>
      <c r="AB9" s="449">
        <v>2280</v>
      </c>
      <c r="AC9" s="529"/>
      <c r="AD9" s="380">
        <v>2959</v>
      </c>
      <c r="AE9" s="861">
        <f>SUM(X9:AA9)</f>
        <v>679</v>
      </c>
      <c r="AF9" s="862">
        <f t="shared" ref="AF9:AF15" si="3">AE9/$AE$9</f>
        <v>1</v>
      </c>
      <c r="AG9" s="305" t="s">
        <v>235</v>
      </c>
      <c r="AH9" s="449">
        <v>1</v>
      </c>
      <c r="AI9" s="449">
        <v>8</v>
      </c>
      <c r="AJ9" s="449">
        <v>198</v>
      </c>
      <c r="AK9" s="449">
        <v>783</v>
      </c>
      <c r="AL9" s="529"/>
      <c r="AM9" s="450">
        <f>SUM(AH9:AL9)</f>
        <v>990</v>
      </c>
      <c r="AN9" s="861">
        <f>SUM(AH9:AJ9)</f>
        <v>207</v>
      </c>
      <c r="AO9" s="862">
        <f t="shared" ref="AO9:AO14" si="4">AN9/$AN$9</f>
        <v>1</v>
      </c>
      <c r="AP9" s="305" t="s">
        <v>235</v>
      </c>
      <c r="AQ9" s="377">
        <v>1</v>
      </c>
      <c r="AR9" s="378">
        <v>1</v>
      </c>
      <c r="AS9" s="378">
        <v>3</v>
      </c>
      <c r="AT9" s="378">
        <v>3</v>
      </c>
      <c r="AU9" s="378">
        <v>681</v>
      </c>
      <c r="AV9" s="378">
        <v>4870</v>
      </c>
      <c r="AW9" s="529"/>
      <c r="AX9" s="380">
        <f>SUM(AQ9:AW9)</f>
        <v>5559</v>
      </c>
      <c r="AY9" s="861">
        <f>SUM(AQ9:AU9)</f>
        <v>689</v>
      </c>
      <c r="AZ9" s="862">
        <f t="shared" ref="AZ9:AZ14" si="5">AY9/$AY$9</f>
        <v>1</v>
      </c>
    </row>
    <row r="10" spans="1:52" ht="15" x14ac:dyDescent="0.25">
      <c r="A10" s="269" t="s">
        <v>211</v>
      </c>
      <c r="B10" s="388">
        <v>1</v>
      </c>
      <c r="C10" s="388">
        <v>2</v>
      </c>
      <c r="D10" s="388">
        <v>13</v>
      </c>
      <c r="E10" s="388">
        <v>27</v>
      </c>
      <c r="F10" s="388">
        <v>11539</v>
      </c>
      <c r="G10" s="388">
        <v>35904</v>
      </c>
      <c r="H10" s="390">
        <v>25019</v>
      </c>
      <c r="I10" s="391">
        <f t="shared" ref="I10:I17" si="6">SUM(B10:H10)</f>
        <v>72505</v>
      </c>
      <c r="J10" s="861">
        <f>SUM(B10:F10)</f>
        <v>11582</v>
      </c>
      <c r="K10" s="862">
        <f t="shared" si="0"/>
        <v>0.67850029291154068</v>
      </c>
      <c r="L10" s="10"/>
      <c r="M10" s="306" t="s">
        <v>211</v>
      </c>
      <c r="N10" s="377">
        <v>0</v>
      </c>
      <c r="O10" s="378">
        <v>2</v>
      </c>
      <c r="P10" s="378">
        <v>4</v>
      </c>
      <c r="Q10" s="378">
        <v>11606</v>
      </c>
      <c r="R10" s="378">
        <v>31982</v>
      </c>
      <c r="S10" s="379">
        <v>16463</v>
      </c>
      <c r="T10" s="380">
        <f t="shared" si="1"/>
        <v>60057</v>
      </c>
      <c r="U10" s="861">
        <f>SUM(N10:Q10)</f>
        <v>11612</v>
      </c>
      <c r="V10" s="862">
        <f t="shared" si="2"/>
        <v>0.7494030332365279</v>
      </c>
      <c r="W10" s="306" t="s">
        <v>211</v>
      </c>
      <c r="X10" s="378">
        <v>1</v>
      </c>
      <c r="Y10" s="378">
        <v>5</v>
      </c>
      <c r="Z10" s="378">
        <v>12</v>
      </c>
      <c r="AA10" s="378">
        <v>419</v>
      </c>
      <c r="AB10" s="378">
        <v>1788</v>
      </c>
      <c r="AC10" s="379">
        <v>1025</v>
      </c>
      <c r="AD10" s="380">
        <v>3250</v>
      </c>
      <c r="AE10" s="861">
        <f>SUM(X10:AA10)</f>
        <v>437</v>
      </c>
      <c r="AF10" s="862">
        <f t="shared" si="3"/>
        <v>0.64359351988217972</v>
      </c>
      <c r="AG10" s="306" t="s">
        <v>211</v>
      </c>
      <c r="AH10" s="378">
        <v>1</v>
      </c>
      <c r="AI10" s="378">
        <v>8</v>
      </c>
      <c r="AJ10" s="378">
        <v>167</v>
      </c>
      <c r="AK10" s="378">
        <v>659</v>
      </c>
      <c r="AL10" s="379">
        <v>298</v>
      </c>
      <c r="AM10" s="380">
        <v>1133</v>
      </c>
      <c r="AN10" s="861">
        <f t="shared" ref="AN10:AN17" si="7">SUM(AH10:AJ10)</f>
        <v>176</v>
      </c>
      <c r="AO10" s="862">
        <f t="shared" si="4"/>
        <v>0.85024154589371981</v>
      </c>
      <c r="AP10" s="306" t="s">
        <v>211</v>
      </c>
      <c r="AQ10" s="377">
        <v>1</v>
      </c>
      <c r="AR10" s="378">
        <v>1</v>
      </c>
      <c r="AS10" s="378">
        <v>5</v>
      </c>
      <c r="AT10" s="378">
        <v>3</v>
      </c>
      <c r="AU10" s="378">
        <v>536</v>
      </c>
      <c r="AV10" s="378">
        <v>3542</v>
      </c>
      <c r="AW10" s="379">
        <v>2975</v>
      </c>
      <c r="AX10" s="380">
        <v>7063</v>
      </c>
      <c r="AY10" s="861">
        <f t="shared" ref="AY10:AY15" si="8">SUM(AQ10:AU10)</f>
        <v>546</v>
      </c>
      <c r="AZ10" s="862">
        <f t="shared" si="5"/>
        <v>0.79245283018867929</v>
      </c>
    </row>
    <row r="11" spans="1:52" ht="15" x14ac:dyDescent="0.25">
      <c r="A11" s="269" t="s">
        <v>231</v>
      </c>
      <c r="B11" s="388">
        <v>2</v>
      </c>
      <c r="C11" s="388">
        <v>2</v>
      </c>
      <c r="D11" s="388">
        <v>2</v>
      </c>
      <c r="E11" s="388">
        <v>23</v>
      </c>
      <c r="F11" s="388">
        <v>9175</v>
      </c>
      <c r="G11" s="388">
        <v>33415</v>
      </c>
      <c r="H11" s="390">
        <v>28726</v>
      </c>
      <c r="I11" s="391">
        <f t="shared" si="6"/>
        <v>71345</v>
      </c>
      <c r="J11" s="861">
        <f>SUM(B11:F11)</f>
        <v>9204</v>
      </c>
      <c r="K11" s="862">
        <f t="shared" si="0"/>
        <v>0.53919156414762737</v>
      </c>
      <c r="L11" s="10"/>
      <c r="M11" s="306" t="s">
        <v>231</v>
      </c>
      <c r="N11" s="377">
        <v>0</v>
      </c>
      <c r="O11" s="378">
        <v>1</v>
      </c>
      <c r="P11" s="378">
        <v>0</v>
      </c>
      <c r="Q11" s="378">
        <v>8200</v>
      </c>
      <c r="R11" s="378">
        <v>28175</v>
      </c>
      <c r="S11" s="379">
        <v>23608</v>
      </c>
      <c r="T11" s="380">
        <f t="shared" si="1"/>
        <v>59984</v>
      </c>
      <c r="U11" s="861">
        <f t="shared" ref="U11:U16" si="9">SUM(N11:Q11)</f>
        <v>8201</v>
      </c>
      <c r="V11" s="862">
        <f t="shared" si="2"/>
        <v>0.52926750564698288</v>
      </c>
      <c r="W11" s="306" t="s">
        <v>231</v>
      </c>
      <c r="X11" s="378">
        <v>1</v>
      </c>
      <c r="Y11" s="448"/>
      <c r="Z11" s="378">
        <v>12</v>
      </c>
      <c r="AA11" s="378">
        <v>372</v>
      </c>
      <c r="AB11" s="378">
        <v>1576</v>
      </c>
      <c r="AC11" s="379">
        <v>1388</v>
      </c>
      <c r="AD11" s="380">
        <v>3349</v>
      </c>
      <c r="AE11" s="861">
        <f t="shared" ref="AE11:AE14" si="10">SUM(X11:AA11)</f>
        <v>385</v>
      </c>
      <c r="AF11" s="862">
        <f t="shared" si="3"/>
        <v>0.5670103092783505</v>
      </c>
      <c r="AG11" s="306" t="s">
        <v>231</v>
      </c>
      <c r="AH11" s="378">
        <v>1</v>
      </c>
      <c r="AI11" s="378">
        <v>8</v>
      </c>
      <c r="AJ11" s="378">
        <v>156</v>
      </c>
      <c r="AK11" s="378">
        <v>555</v>
      </c>
      <c r="AL11" s="379">
        <v>482</v>
      </c>
      <c r="AM11" s="380">
        <v>1202</v>
      </c>
      <c r="AN11" s="861">
        <f t="shared" si="7"/>
        <v>165</v>
      </c>
      <c r="AO11" s="862">
        <f t="shared" si="4"/>
        <v>0.79710144927536231</v>
      </c>
      <c r="AP11" s="306" t="s">
        <v>231</v>
      </c>
      <c r="AQ11" s="377"/>
      <c r="AR11" s="378"/>
      <c r="AS11" s="378">
        <v>1</v>
      </c>
      <c r="AT11" s="378">
        <v>3</v>
      </c>
      <c r="AU11" s="378">
        <v>447</v>
      </c>
      <c r="AV11" s="378">
        <v>3109</v>
      </c>
      <c r="AW11" s="379">
        <v>3248</v>
      </c>
      <c r="AX11" s="380">
        <v>6808</v>
      </c>
      <c r="AY11" s="861">
        <f t="shared" si="8"/>
        <v>451</v>
      </c>
      <c r="AZ11" s="862">
        <f t="shared" si="5"/>
        <v>0.65457184325108853</v>
      </c>
    </row>
    <row r="12" spans="1:52" ht="15" x14ac:dyDescent="0.25">
      <c r="A12" s="269" t="s">
        <v>237</v>
      </c>
      <c r="B12" s="388"/>
      <c r="C12" s="388">
        <v>1</v>
      </c>
      <c r="D12" s="388">
        <v>2</v>
      </c>
      <c r="E12" s="388">
        <v>14</v>
      </c>
      <c r="F12" s="388">
        <v>8371</v>
      </c>
      <c r="G12" s="388">
        <v>31161</v>
      </c>
      <c r="H12" s="390">
        <v>31718</v>
      </c>
      <c r="I12" s="391">
        <f t="shared" si="6"/>
        <v>71267</v>
      </c>
      <c r="J12" s="861">
        <f>SUM(B12:F12)</f>
        <v>8388</v>
      </c>
      <c r="K12" s="862">
        <f t="shared" si="0"/>
        <v>0.49138840070298767</v>
      </c>
      <c r="L12" s="10"/>
      <c r="M12" s="306" t="s">
        <v>237</v>
      </c>
      <c r="N12" s="377">
        <v>0</v>
      </c>
      <c r="O12" s="378">
        <v>1</v>
      </c>
      <c r="P12" s="378">
        <v>0</v>
      </c>
      <c r="Q12" s="378">
        <v>7508</v>
      </c>
      <c r="R12" s="378">
        <v>26483</v>
      </c>
      <c r="S12" s="379">
        <v>26374</v>
      </c>
      <c r="T12" s="380">
        <f t="shared" si="1"/>
        <v>60366</v>
      </c>
      <c r="U12" s="861">
        <f t="shared" si="9"/>
        <v>7509</v>
      </c>
      <c r="V12" s="862">
        <f t="shared" si="2"/>
        <v>0.48460793804453051</v>
      </c>
      <c r="W12" s="306" t="s">
        <v>237</v>
      </c>
      <c r="X12" s="378">
        <v>1</v>
      </c>
      <c r="Y12" s="448"/>
      <c r="Z12" s="378">
        <v>5</v>
      </c>
      <c r="AA12" s="378">
        <v>331</v>
      </c>
      <c r="AB12" s="378">
        <v>1493</v>
      </c>
      <c r="AC12" s="379">
        <v>1787</v>
      </c>
      <c r="AD12" s="380">
        <v>3617</v>
      </c>
      <c r="AE12" s="861">
        <f t="shared" si="10"/>
        <v>337</v>
      </c>
      <c r="AF12" s="862">
        <f t="shared" si="3"/>
        <v>0.49631811487481592</v>
      </c>
      <c r="AG12" s="306" t="s">
        <v>237</v>
      </c>
      <c r="AH12" s="378">
        <v>1</v>
      </c>
      <c r="AI12" s="378">
        <v>6</v>
      </c>
      <c r="AJ12" s="378">
        <v>144</v>
      </c>
      <c r="AK12" s="378">
        <v>482</v>
      </c>
      <c r="AL12" s="379">
        <v>557</v>
      </c>
      <c r="AM12" s="380">
        <v>1190</v>
      </c>
      <c r="AN12" s="861">
        <f t="shared" si="7"/>
        <v>151</v>
      </c>
      <c r="AO12" s="862">
        <f t="shared" si="4"/>
        <v>0.72946859903381644</v>
      </c>
      <c r="AP12" s="306" t="s">
        <v>237</v>
      </c>
      <c r="AQ12" s="377"/>
      <c r="AR12" s="378"/>
      <c r="AS12" s="378"/>
      <c r="AT12" s="378">
        <v>3</v>
      </c>
      <c r="AU12" s="378">
        <v>388</v>
      </c>
      <c r="AV12" s="378">
        <v>2703</v>
      </c>
      <c r="AW12" s="379">
        <v>3000</v>
      </c>
      <c r="AX12" s="380">
        <v>6094</v>
      </c>
      <c r="AY12" s="861">
        <f t="shared" si="8"/>
        <v>391</v>
      </c>
      <c r="AZ12" s="862">
        <f t="shared" si="5"/>
        <v>0.56748911465892593</v>
      </c>
    </row>
    <row r="13" spans="1:52" ht="15" x14ac:dyDescent="0.25">
      <c r="A13" s="269" t="s">
        <v>238</v>
      </c>
      <c r="B13" s="388"/>
      <c r="C13" s="388">
        <v>1</v>
      </c>
      <c r="D13" s="388">
        <v>3</v>
      </c>
      <c r="E13" s="388">
        <v>14</v>
      </c>
      <c r="F13" s="388">
        <v>6366</v>
      </c>
      <c r="G13" s="388">
        <v>29209</v>
      </c>
      <c r="H13" s="390">
        <v>35381</v>
      </c>
      <c r="I13" s="391">
        <f t="shared" si="6"/>
        <v>70974</v>
      </c>
      <c r="J13" s="861">
        <f>SUM(B13:F13)</f>
        <v>6384</v>
      </c>
      <c r="K13" s="862">
        <f t="shared" si="0"/>
        <v>0.37398945518453425</v>
      </c>
      <c r="L13" s="10"/>
      <c r="M13" s="306" t="s">
        <v>238</v>
      </c>
      <c r="N13" s="377">
        <v>0</v>
      </c>
      <c r="O13" s="378">
        <v>2</v>
      </c>
      <c r="P13" s="378">
        <v>0</v>
      </c>
      <c r="Q13" s="378">
        <v>5546</v>
      </c>
      <c r="R13" s="378">
        <v>25066</v>
      </c>
      <c r="S13" s="379">
        <v>29565</v>
      </c>
      <c r="T13" s="380">
        <f t="shared" si="1"/>
        <v>60179</v>
      </c>
      <c r="U13" s="861">
        <f t="shared" si="9"/>
        <v>5548</v>
      </c>
      <c r="V13" s="862">
        <f t="shared" si="2"/>
        <v>0.35805098418844788</v>
      </c>
      <c r="W13" s="306" t="s">
        <v>238</v>
      </c>
      <c r="X13" s="444">
        <v>1</v>
      </c>
      <c r="Y13" s="448"/>
      <c r="Z13" s="444"/>
      <c r="AA13" s="444">
        <v>286</v>
      </c>
      <c r="AB13" s="444">
        <v>1404</v>
      </c>
      <c r="AC13" s="445">
        <v>2046</v>
      </c>
      <c r="AD13" s="380">
        <v>3737</v>
      </c>
      <c r="AE13" s="861">
        <f t="shared" si="10"/>
        <v>287</v>
      </c>
      <c r="AF13" s="862">
        <f t="shared" si="3"/>
        <v>0.42268041237113402</v>
      </c>
      <c r="AG13" s="306" t="s">
        <v>238</v>
      </c>
      <c r="AH13" s="378">
        <v>1</v>
      </c>
      <c r="AI13" s="378">
        <v>6</v>
      </c>
      <c r="AJ13" s="378">
        <v>133</v>
      </c>
      <c r="AK13" s="378">
        <v>372</v>
      </c>
      <c r="AL13" s="379">
        <v>684</v>
      </c>
      <c r="AM13" s="380">
        <v>1196</v>
      </c>
      <c r="AN13" s="861">
        <f t="shared" si="7"/>
        <v>140</v>
      </c>
      <c r="AO13" s="862">
        <f t="shared" si="4"/>
        <v>0.67632850241545894</v>
      </c>
      <c r="AP13" s="306" t="s">
        <v>238</v>
      </c>
      <c r="AQ13" s="381"/>
      <c r="AR13" s="382"/>
      <c r="AS13" s="444"/>
      <c r="AT13" s="444">
        <v>3</v>
      </c>
      <c r="AU13" s="444">
        <v>373</v>
      </c>
      <c r="AV13" s="444">
        <v>2316</v>
      </c>
      <c r="AW13" s="445">
        <v>3193</v>
      </c>
      <c r="AX13" s="446">
        <v>5885</v>
      </c>
      <c r="AY13" s="861">
        <f t="shared" si="8"/>
        <v>376</v>
      </c>
      <c r="AZ13" s="862">
        <f t="shared" si="5"/>
        <v>0.54571843251088537</v>
      </c>
    </row>
    <row r="14" spans="1:52" ht="15" x14ac:dyDescent="0.25">
      <c r="A14" s="269" t="s">
        <v>239</v>
      </c>
      <c r="B14" s="388"/>
      <c r="C14" s="388">
        <v>1</v>
      </c>
      <c r="D14" s="388">
        <v>1</v>
      </c>
      <c r="E14" s="388">
        <v>2</v>
      </c>
      <c r="F14" s="388">
        <v>5588</v>
      </c>
      <c r="G14" s="388">
        <v>28114</v>
      </c>
      <c r="H14" s="390">
        <v>38213</v>
      </c>
      <c r="I14" s="391">
        <f t="shared" si="6"/>
        <v>71919</v>
      </c>
      <c r="J14" s="861">
        <f>SUM(B14:F14)</f>
        <v>5592</v>
      </c>
      <c r="K14" s="862">
        <f t="shared" si="0"/>
        <v>0.32759226713532513</v>
      </c>
      <c r="L14" s="10"/>
      <c r="M14" s="306" t="s">
        <v>239</v>
      </c>
      <c r="N14" s="381">
        <v>0</v>
      </c>
      <c r="O14" s="378">
        <v>1</v>
      </c>
      <c r="P14" s="378">
        <v>0</v>
      </c>
      <c r="Q14" s="378">
        <v>4801</v>
      </c>
      <c r="R14" s="378">
        <v>24177</v>
      </c>
      <c r="S14" s="379">
        <v>32157</v>
      </c>
      <c r="T14" s="380">
        <f t="shared" si="1"/>
        <v>61136</v>
      </c>
      <c r="U14" s="861">
        <f t="shared" si="9"/>
        <v>4802</v>
      </c>
      <c r="V14" s="862">
        <f t="shared" si="2"/>
        <v>0.30990642142626657</v>
      </c>
      <c r="W14" s="306" t="s">
        <v>239</v>
      </c>
      <c r="X14" s="448">
        <v>1</v>
      </c>
      <c r="Y14" s="444"/>
      <c r="Z14" s="444"/>
      <c r="AA14" s="444">
        <v>286</v>
      </c>
      <c r="AB14" s="444">
        <v>1404</v>
      </c>
      <c r="AC14" s="445">
        <v>2046</v>
      </c>
      <c r="AD14" s="380">
        <v>3737</v>
      </c>
      <c r="AE14" s="861">
        <f t="shared" si="10"/>
        <v>287</v>
      </c>
      <c r="AF14" s="862">
        <f t="shared" si="3"/>
        <v>0.42268041237113402</v>
      </c>
      <c r="AG14" s="306" t="s">
        <v>239</v>
      </c>
      <c r="AH14" s="448"/>
      <c r="AI14" s="378">
        <v>1</v>
      </c>
      <c r="AJ14" s="378">
        <v>131</v>
      </c>
      <c r="AK14" s="378">
        <v>369</v>
      </c>
      <c r="AL14" s="379">
        <v>719</v>
      </c>
      <c r="AM14" s="380">
        <v>1220</v>
      </c>
      <c r="AN14" s="861">
        <f t="shared" si="7"/>
        <v>132</v>
      </c>
      <c r="AO14" s="862">
        <f t="shared" si="4"/>
        <v>0.6376811594202898</v>
      </c>
      <c r="AP14" s="306" t="s">
        <v>239</v>
      </c>
      <c r="AQ14" s="381"/>
      <c r="AR14" s="382"/>
      <c r="AS14" s="444"/>
      <c r="AT14" s="444">
        <v>1</v>
      </c>
      <c r="AU14" s="444">
        <v>370</v>
      </c>
      <c r="AV14" s="444">
        <v>2164</v>
      </c>
      <c r="AW14" s="445">
        <v>3291</v>
      </c>
      <c r="AX14" s="446">
        <v>5826</v>
      </c>
      <c r="AY14" s="861">
        <f t="shared" si="8"/>
        <v>371</v>
      </c>
      <c r="AZ14" s="862">
        <f t="shared" si="5"/>
        <v>0.53846153846153844</v>
      </c>
    </row>
    <row r="15" spans="1:52" ht="15" x14ac:dyDescent="0.25">
      <c r="A15" s="269" t="s">
        <v>240</v>
      </c>
      <c r="B15" s="388"/>
      <c r="C15" s="388">
        <v>1</v>
      </c>
      <c r="D15" s="388">
        <v>1</v>
      </c>
      <c r="E15" s="388">
        <v>0</v>
      </c>
      <c r="F15" s="388">
        <v>3719</v>
      </c>
      <c r="G15" s="388">
        <v>26376</v>
      </c>
      <c r="H15" s="390">
        <v>41870</v>
      </c>
      <c r="I15" s="391">
        <f t="shared" si="6"/>
        <v>71967</v>
      </c>
      <c r="J15" s="861">
        <f>SUM(B15:F15)</f>
        <v>3721</v>
      </c>
      <c r="K15" s="862">
        <f>J15/$J$9</f>
        <v>0.21798476859988283</v>
      </c>
      <c r="L15" s="10"/>
      <c r="M15" s="306" t="s">
        <v>240</v>
      </c>
      <c r="N15" s="381">
        <v>0</v>
      </c>
      <c r="O15" s="378">
        <v>1</v>
      </c>
      <c r="P15" s="378">
        <v>0</v>
      </c>
      <c r="Q15" s="378">
        <v>3109</v>
      </c>
      <c r="R15" s="378">
        <v>22797</v>
      </c>
      <c r="S15" s="379">
        <v>35015</v>
      </c>
      <c r="T15" s="380">
        <f>SUM(O15:S15)</f>
        <v>60922</v>
      </c>
      <c r="U15" s="861">
        <f t="shared" si="9"/>
        <v>3110</v>
      </c>
      <c r="V15" s="862">
        <f>U15/$U$9</f>
        <v>0.20070990642142628</v>
      </c>
      <c r="W15" s="306" t="s">
        <v>240</v>
      </c>
      <c r="X15" s="382">
        <v>1</v>
      </c>
      <c r="Y15" s="382"/>
      <c r="Z15" s="382"/>
      <c r="AA15" s="382">
        <v>236</v>
      </c>
      <c r="AB15" s="382">
        <v>1329</v>
      </c>
      <c r="AC15" s="383">
        <v>2379</v>
      </c>
      <c r="AD15" s="380">
        <f>SUM(X15:AC15)</f>
        <v>3945</v>
      </c>
      <c r="AE15" s="861">
        <f>SUM(X15:AA15)</f>
        <v>237</v>
      </c>
      <c r="AF15" s="862">
        <f t="shared" si="3"/>
        <v>0.34904270986745212</v>
      </c>
      <c r="AG15" s="306" t="s">
        <v>240</v>
      </c>
      <c r="AH15" s="378"/>
      <c r="AI15" s="378"/>
      <c r="AJ15" s="378">
        <v>87</v>
      </c>
      <c r="AK15" s="378">
        <v>333</v>
      </c>
      <c r="AL15" s="379">
        <v>1005</v>
      </c>
      <c r="AM15" s="380">
        <f>SUM(AH15:AL15)</f>
        <v>1425</v>
      </c>
      <c r="AN15" s="861">
        <f t="shared" si="7"/>
        <v>87</v>
      </c>
      <c r="AO15" s="862">
        <f>AN15/$AN$9</f>
        <v>0.42028985507246375</v>
      </c>
      <c r="AP15" s="306" t="s">
        <v>240</v>
      </c>
      <c r="AQ15" s="381"/>
      <c r="AR15" s="382"/>
      <c r="AS15" s="382"/>
      <c r="AT15" s="382"/>
      <c r="AU15" s="382">
        <v>287</v>
      </c>
      <c r="AV15" s="382">
        <v>1917</v>
      </c>
      <c r="AW15" s="383">
        <v>3471</v>
      </c>
      <c r="AX15" s="447">
        <f>SUM(AQ15:AW15)</f>
        <v>5675</v>
      </c>
      <c r="AY15" s="861">
        <f t="shared" si="8"/>
        <v>287</v>
      </c>
      <c r="AZ15" s="862">
        <f>AY15/$AY$9</f>
        <v>0.41654571843251087</v>
      </c>
    </row>
    <row r="16" spans="1:52" ht="15" x14ac:dyDescent="0.25">
      <c r="A16" s="269" t="s">
        <v>441</v>
      </c>
      <c r="B16" s="388"/>
      <c r="C16" s="853">
        <v>2</v>
      </c>
      <c r="D16" s="853">
        <v>1</v>
      </c>
      <c r="E16" s="853">
        <v>0</v>
      </c>
      <c r="F16" s="853">
        <v>1711</v>
      </c>
      <c r="G16" s="388">
        <v>24017</v>
      </c>
      <c r="H16" s="390">
        <v>43098</v>
      </c>
      <c r="I16" s="391">
        <v>68829</v>
      </c>
      <c r="J16" s="861">
        <f>SUM(B16:F16)</f>
        <v>1714</v>
      </c>
      <c r="K16" s="862">
        <f t="shared" ref="K16:K17" si="11">J16/$J$9</f>
        <v>0.10041007615700058</v>
      </c>
      <c r="L16" s="10"/>
      <c r="M16" s="306" t="s">
        <v>441</v>
      </c>
      <c r="N16" s="851">
        <v>1</v>
      </c>
      <c r="O16" s="852">
        <v>1</v>
      </c>
      <c r="P16" s="852">
        <v>0</v>
      </c>
      <c r="Q16" s="852">
        <v>1486</v>
      </c>
      <c r="R16" s="382">
        <v>20765</v>
      </c>
      <c r="S16" s="383">
        <v>36143</v>
      </c>
      <c r="T16" s="380">
        <v>58396</v>
      </c>
      <c r="U16" s="861">
        <f t="shared" si="9"/>
        <v>1488</v>
      </c>
      <c r="V16" s="862">
        <f t="shared" si="2"/>
        <v>9.6030977734753151E-2</v>
      </c>
      <c r="W16" s="306" t="s">
        <v>441</v>
      </c>
      <c r="X16" s="852">
        <v>1</v>
      </c>
      <c r="Y16" s="852">
        <v>0</v>
      </c>
      <c r="Z16" s="852">
        <v>0</v>
      </c>
      <c r="AA16" s="852">
        <v>53</v>
      </c>
      <c r="AB16" s="382">
        <v>1323</v>
      </c>
      <c r="AC16" s="383">
        <v>2697</v>
      </c>
      <c r="AD16" s="380">
        <v>4074</v>
      </c>
      <c r="AE16" s="861">
        <f>SUM(X16:AA16)</f>
        <v>54</v>
      </c>
      <c r="AF16" s="862">
        <f>AE16/$AE$9</f>
        <v>7.9528718703976431E-2</v>
      </c>
      <c r="AG16" s="306" t="s">
        <v>441</v>
      </c>
      <c r="AH16" s="854"/>
      <c r="AI16" s="854"/>
      <c r="AJ16" s="854">
        <v>69</v>
      </c>
      <c r="AK16" s="378">
        <v>290</v>
      </c>
      <c r="AL16" s="379">
        <v>663</v>
      </c>
      <c r="AM16" s="380">
        <v>1022</v>
      </c>
      <c r="AN16" s="861">
        <f t="shared" ref="AN16:AN17" si="12">SUM(AH16:AJ16)</f>
        <v>69</v>
      </c>
      <c r="AO16" s="862">
        <f t="shared" ref="AO16:AO17" si="13">AN16/$AN$9</f>
        <v>0.33333333333333331</v>
      </c>
      <c r="AP16" s="306" t="s">
        <v>441</v>
      </c>
      <c r="AQ16" s="851"/>
      <c r="AR16" s="852"/>
      <c r="AS16" s="852"/>
      <c r="AT16" s="852"/>
      <c r="AU16" s="852">
        <v>103</v>
      </c>
      <c r="AV16" s="382">
        <v>1639</v>
      </c>
      <c r="AW16" s="383">
        <v>3595</v>
      </c>
      <c r="AX16" s="447">
        <v>5337</v>
      </c>
      <c r="AY16" s="861">
        <f t="shared" ref="AY16:AY17" si="14">SUM(AQ16:AU16)</f>
        <v>103</v>
      </c>
      <c r="AZ16" s="862">
        <f t="shared" ref="AZ16:AZ17" si="15">AY16/$AY$9</f>
        <v>0.14949201741654572</v>
      </c>
    </row>
    <row r="17" spans="1:52" ht="15.75" thickBot="1" x14ac:dyDescent="0.3">
      <c r="A17" s="270" t="s">
        <v>241</v>
      </c>
      <c r="B17" s="392"/>
      <c r="C17" s="392"/>
      <c r="D17" s="392"/>
      <c r="E17" s="392"/>
      <c r="F17" s="392"/>
      <c r="G17" s="392"/>
      <c r="H17" s="393"/>
      <c r="I17" s="394">
        <f t="shared" si="6"/>
        <v>0</v>
      </c>
      <c r="J17" s="863"/>
      <c r="K17" s="862">
        <f t="shared" si="11"/>
        <v>0</v>
      </c>
      <c r="L17" s="10"/>
      <c r="M17" s="307" t="s">
        <v>241</v>
      </c>
      <c r="N17" s="384"/>
      <c r="O17" s="385"/>
      <c r="P17" s="385"/>
      <c r="Q17" s="385"/>
      <c r="R17" s="385"/>
      <c r="S17" s="386"/>
      <c r="T17" s="387"/>
      <c r="U17" s="863"/>
      <c r="V17" s="862">
        <f t="shared" si="2"/>
        <v>0</v>
      </c>
      <c r="W17" s="307" t="s">
        <v>241</v>
      </c>
      <c r="X17" s="385"/>
      <c r="Y17" s="385"/>
      <c r="Z17" s="385"/>
      <c r="AA17" s="385"/>
      <c r="AB17" s="385"/>
      <c r="AC17" s="386"/>
      <c r="AD17" s="387"/>
      <c r="AE17" s="863">
        <f>SUM(X17:AA17)</f>
        <v>0</v>
      </c>
      <c r="AF17" s="862">
        <f>AE17/$AE$9</f>
        <v>0</v>
      </c>
      <c r="AG17" s="307" t="s">
        <v>241</v>
      </c>
      <c r="AH17" s="451"/>
      <c r="AI17" s="451"/>
      <c r="AJ17" s="451"/>
      <c r="AK17" s="451"/>
      <c r="AL17" s="452"/>
      <c r="AM17" s="453"/>
      <c r="AN17" s="863">
        <f t="shared" si="12"/>
        <v>0</v>
      </c>
      <c r="AO17" s="862">
        <f t="shared" si="13"/>
        <v>0</v>
      </c>
      <c r="AP17" s="307" t="s">
        <v>241</v>
      </c>
      <c r="AQ17" s="384"/>
      <c r="AR17" s="385"/>
      <c r="AS17" s="385"/>
      <c r="AT17" s="385"/>
      <c r="AU17" s="385"/>
      <c r="AV17" s="385"/>
      <c r="AW17" s="386"/>
      <c r="AX17" s="387"/>
      <c r="AY17" s="863">
        <f t="shared" si="14"/>
        <v>0</v>
      </c>
      <c r="AZ17" s="862">
        <f t="shared" si="15"/>
        <v>0</v>
      </c>
    </row>
    <row r="18" spans="1:52" ht="19.5" thickTop="1" x14ac:dyDescent="0.3">
      <c r="B18" s="502"/>
      <c r="C18" s="502"/>
      <c r="D18" s="502"/>
      <c r="E18" s="502"/>
      <c r="F18" s="502"/>
      <c r="G18" s="502"/>
      <c r="H18" s="502"/>
    </row>
    <row r="19" spans="1:52" x14ac:dyDescent="0.3">
      <c r="C19" s="502"/>
      <c r="D19" s="502"/>
      <c r="E19" s="502"/>
      <c r="F19" s="502"/>
      <c r="G19" s="502"/>
      <c r="H19" s="502"/>
    </row>
    <row r="20" spans="1:52" ht="19.5" thickBot="1" x14ac:dyDescent="0.35">
      <c r="A20" s="860" t="s">
        <v>441</v>
      </c>
    </row>
    <row r="21" spans="1:52" ht="31.5" thickTop="1" thickBot="1" x14ac:dyDescent="0.35">
      <c r="A21" s="271" t="s">
        <v>191</v>
      </c>
      <c r="B21" s="843">
        <v>2012</v>
      </c>
      <c r="C21" s="843">
        <v>2013</v>
      </c>
      <c r="D21" s="843">
        <v>2014</v>
      </c>
      <c r="E21" s="843">
        <v>2015</v>
      </c>
      <c r="F21" s="843">
        <v>2016</v>
      </c>
      <c r="G21" s="843">
        <v>2017</v>
      </c>
      <c r="H21" s="843">
        <v>2018</v>
      </c>
      <c r="I21" s="272" t="s">
        <v>74</v>
      </c>
      <c r="M21" s="330" t="s">
        <v>191</v>
      </c>
      <c r="N21" s="348">
        <v>2013</v>
      </c>
      <c r="O21" s="349">
        <v>2014</v>
      </c>
      <c r="P21" s="349">
        <v>2015</v>
      </c>
      <c r="Q21" s="349">
        <v>2016</v>
      </c>
      <c r="R21" s="349">
        <v>2017</v>
      </c>
      <c r="S21" s="350">
        <v>2018</v>
      </c>
      <c r="T21" s="351" t="s">
        <v>378</v>
      </c>
      <c r="W21" s="396" t="s">
        <v>191</v>
      </c>
      <c r="X21" s="349">
        <v>2013</v>
      </c>
      <c r="Y21" s="349">
        <v>2014</v>
      </c>
      <c r="Z21" s="349">
        <v>2015</v>
      </c>
      <c r="AA21" s="349">
        <v>2016</v>
      </c>
      <c r="AB21" s="349">
        <v>2017</v>
      </c>
      <c r="AC21" s="407">
        <v>2018</v>
      </c>
      <c r="AD21" s="408" t="s">
        <v>378</v>
      </c>
      <c r="AG21" s="396" t="s">
        <v>191</v>
      </c>
      <c r="AH21" s="409">
        <v>2014</v>
      </c>
      <c r="AI21" s="409">
        <v>2015</v>
      </c>
      <c r="AJ21" s="409">
        <v>2016</v>
      </c>
      <c r="AK21" s="409">
        <v>2017</v>
      </c>
      <c r="AL21" s="409">
        <v>2018</v>
      </c>
      <c r="AM21" s="410" t="s">
        <v>378</v>
      </c>
      <c r="AP21" s="426" t="s">
        <v>191</v>
      </c>
      <c r="AQ21" s="348">
        <v>2012</v>
      </c>
      <c r="AR21" s="349">
        <v>2013</v>
      </c>
      <c r="AS21" s="349">
        <v>2014</v>
      </c>
      <c r="AT21" s="349">
        <v>2015</v>
      </c>
      <c r="AU21" s="349">
        <v>2016</v>
      </c>
      <c r="AV21" s="349">
        <v>2017</v>
      </c>
      <c r="AW21" s="350">
        <v>2018</v>
      </c>
      <c r="AX21" s="351" t="s">
        <v>82</v>
      </c>
    </row>
    <row r="22" spans="1:52" ht="20.25" thickTop="1" thickBot="1" x14ac:dyDescent="0.35">
      <c r="A22" s="273" t="s">
        <v>193</v>
      </c>
      <c r="B22" s="844"/>
      <c r="C22" s="315">
        <v>1</v>
      </c>
      <c r="D22" s="315">
        <v>1</v>
      </c>
      <c r="E22" s="315">
        <v>0</v>
      </c>
      <c r="F22" s="315">
        <f>SUM(F23:F72)</f>
        <v>1486</v>
      </c>
      <c r="G22" s="315">
        <f t="shared" ref="G22:I22" si="16">SUM(G23:G72)</f>
        <v>20765</v>
      </c>
      <c r="H22" s="315">
        <f t="shared" si="16"/>
        <v>36143</v>
      </c>
      <c r="I22" s="315">
        <f t="shared" si="16"/>
        <v>58396</v>
      </c>
      <c r="M22" s="347" t="s">
        <v>193</v>
      </c>
      <c r="N22" s="352">
        <f>N23+N64+N96</f>
        <v>1</v>
      </c>
      <c r="O22" s="353">
        <f t="shared" ref="O22:S22" si="17">O23+O64+O96</f>
        <v>1</v>
      </c>
      <c r="P22" s="353">
        <f t="shared" si="17"/>
        <v>0</v>
      </c>
      <c r="Q22" s="353">
        <f t="shared" si="17"/>
        <v>1486</v>
      </c>
      <c r="R22" s="353">
        <f t="shared" si="17"/>
        <v>20765</v>
      </c>
      <c r="S22" s="354">
        <f t="shared" si="17"/>
        <v>36143</v>
      </c>
      <c r="T22" s="355">
        <f>SUM(N22:S22)</f>
        <v>58396</v>
      </c>
      <c r="W22" s="327" t="s">
        <v>214</v>
      </c>
      <c r="X22" s="336">
        <f t="shared" ref="X22:AC22" si="18">X23</f>
        <v>1</v>
      </c>
      <c r="Y22" s="336">
        <f t="shared" si="18"/>
        <v>0</v>
      </c>
      <c r="Z22" s="336">
        <f t="shared" si="18"/>
        <v>0</v>
      </c>
      <c r="AA22" s="336">
        <f t="shared" si="18"/>
        <v>53</v>
      </c>
      <c r="AB22" s="336">
        <f t="shared" si="18"/>
        <v>1323</v>
      </c>
      <c r="AC22" s="406">
        <f t="shared" si="18"/>
        <v>2697</v>
      </c>
      <c r="AD22" s="326">
        <f>SUM(X22:AC22)</f>
        <v>4074</v>
      </c>
      <c r="AG22" s="327" t="s">
        <v>216</v>
      </c>
      <c r="AH22" s="334"/>
      <c r="AI22" s="334"/>
      <c r="AJ22" s="334">
        <f>AJ23+AJ33+AJ36+AJ39+AJ43</f>
        <v>69</v>
      </c>
      <c r="AK22" s="334">
        <f t="shared" ref="AK22:AL22" si="19">AK23+AK33+AK36+AK39+AK43</f>
        <v>290</v>
      </c>
      <c r="AL22" s="334">
        <f t="shared" si="19"/>
        <v>663</v>
      </c>
      <c r="AM22" s="335">
        <f>SUM(AH22:AL22)</f>
        <v>1022</v>
      </c>
      <c r="AP22" s="347" t="s">
        <v>213</v>
      </c>
      <c r="AQ22" s="427"/>
      <c r="AR22" s="334"/>
      <c r="AS22" s="334"/>
      <c r="AT22" s="334"/>
      <c r="AU22" s="371">
        <f>AU23+AU52+AU54+AU58+AU82+AU85+AU96+AU99+AU103</f>
        <v>103</v>
      </c>
      <c r="AV22" s="371">
        <f t="shared" ref="AV22:AW22" si="20">AV23+AV52+AV54+AV58+AV82+AV85+AV96+AV99+AV103</f>
        <v>1639</v>
      </c>
      <c r="AW22" s="428">
        <f t="shared" si="20"/>
        <v>3595</v>
      </c>
      <c r="AX22" s="429">
        <f>SUM(AQ22:AW22)</f>
        <v>5337</v>
      </c>
    </row>
    <row r="23" spans="1:52" ht="16.5" thickTop="1" thickBot="1" x14ac:dyDescent="0.3">
      <c r="A23" s="110" t="s">
        <v>314</v>
      </c>
      <c r="B23" s="845"/>
      <c r="C23" s="845"/>
      <c r="D23" s="316"/>
      <c r="E23" s="316"/>
      <c r="F23" s="316">
        <v>861</v>
      </c>
      <c r="G23" s="316">
        <v>4704</v>
      </c>
      <c r="H23" s="317">
        <v>5708</v>
      </c>
      <c r="I23" s="318">
        <f>SUM(B23:H23)</f>
        <v>11273</v>
      </c>
      <c r="J23" s="274">
        <f>I23/$I$22</f>
        <v>0.19304404411261045</v>
      </c>
      <c r="K23" s="742">
        <f>I22/I115</f>
        <v>0.84842145026079119</v>
      </c>
      <c r="M23" s="325" t="s">
        <v>194</v>
      </c>
      <c r="N23" s="356">
        <f>SUM(N24:N63)</f>
        <v>0</v>
      </c>
      <c r="O23" s="357">
        <f t="shared" ref="O23:S23" si="21">SUM(O24:O63)</f>
        <v>0</v>
      </c>
      <c r="P23" s="357">
        <f t="shared" si="21"/>
        <v>0</v>
      </c>
      <c r="Q23" s="357">
        <f t="shared" si="21"/>
        <v>1094</v>
      </c>
      <c r="R23" s="357">
        <f t="shared" si="21"/>
        <v>9612</v>
      </c>
      <c r="S23" s="358">
        <f t="shared" si="21"/>
        <v>13895</v>
      </c>
      <c r="T23" s="359">
        <f>SUM(T24:T63)</f>
        <v>24601</v>
      </c>
      <c r="W23" s="332" t="s">
        <v>195</v>
      </c>
      <c r="X23" s="334">
        <f t="shared" ref="X23:AC23" si="22">SUM(X24:X43)</f>
        <v>1</v>
      </c>
      <c r="Y23" s="334">
        <f t="shared" si="22"/>
        <v>0</v>
      </c>
      <c r="Z23" s="334">
        <f t="shared" si="22"/>
        <v>0</v>
      </c>
      <c r="AA23" s="334">
        <f t="shared" si="22"/>
        <v>53</v>
      </c>
      <c r="AB23" s="334">
        <f t="shared" si="22"/>
        <v>1323</v>
      </c>
      <c r="AC23" s="405">
        <f t="shared" si="22"/>
        <v>2697</v>
      </c>
      <c r="AD23" s="333">
        <f>SUM(X23:AC23)</f>
        <v>4074</v>
      </c>
      <c r="AE23" s="739">
        <f>AD23/AD22</f>
        <v>1</v>
      </c>
      <c r="AG23" s="332" t="s">
        <v>275</v>
      </c>
      <c r="AH23" s="334"/>
      <c r="AI23" s="334"/>
      <c r="AJ23" s="334">
        <f>SUM(AJ24:AJ32)</f>
        <v>58</v>
      </c>
      <c r="AK23" s="334">
        <f t="shared" ref="AK23:AL23" si="23">SUM(AK24:AK32)</f>
        <v>219</v>
      </c>
      <c r="AL23" s="334">
        <f t="shared" si="23"/>
        <v>412</v>
      </c>
      <c r="AM23" s="335">
        <f>SUM(AH23:AL23)</f>
        <v>689</v>
      </c>
      <c r="AP23" s="343" t="s">
        <v>312</v>
      </c>
      <c r="AQ23" s="427"/>
      <c r="AR23" s="334"/>
      <c r="AS23" s="334"/>
      <c r="AT23" s="334"/>
      <c r="AU23" s="371">
        <f>SUM(AU24:AU51)</f>
        <v>35</v>
      </c>
      <c r="AV23" s="371">
        <f t="shared" ref="AV23:AW23" si="24">SUM(AV24:AV51)</f>
        <v>604</v>
      </c>
      <c r="AW23" s="428">
        <f t="shared" si="24"/>
        <v>1590</v>
      </c>
      <c r="AX23" s="429">
        <f>SUM(AQ23:AW23)</f>
        <v>2229</v>
      </c>
    </row>
    <row r="24" spans="1:52" ht="15.75" thickTop="1" x14ac:dyDescent="0.25">
      <c r="A24" s="111" t="s">
        <v>284</v>
      </c>
      <c r="B24" s="846"/>
      <c r="C24" s="846"/>
      <c r="D24" s="319"/>
      <c r="E24" s="319"/>
      <c r="F24" s="319">
        <v>241</v>
      </c>
      <c r="G24" s="319">
        <v>3262</v>
      </c>
      <c r="H24" s="320">
        <v>4241</v>
      </c>
      <c r="I24" s="321">
        <f>SUM(B24:H24)</f>
        <v>7744</v>
      </c>
      <c r="J24" s="276">
        <f t="shared" ref="J24:J72" si="25">I24/$I$22</f>
        <v>0.13261182272758409</v>
      </c>
      <c r="K24" s="743"/>
      <c r="M24" s="331" t="s">
        <v>314</v>
      </c>
      <c r="N24" s="360"/>
      <c r="O24" s="361"/>
      <c r="P24" s="361"/>
      <c r="Q24" s="361">
        <v>807</v>
      </c>
      <c r="R24" s="361">
        <v>3240</v>
      </c>
      <c r="S24" s="362">
        <v>3894</v>
      </c>
      <c r="T24" s="363">
        <f>SUM(Q24:S24)</f>
        <v>7941</v>
      </c>
      <c r="U24" s="739">
        <f>T23/T22</f>
        <v>0.42127885471607646</v>
      </c>
      <c r="W24" s="399" t="s">
        <v>284</v>
      </c>
      <c r="X24" s="400">
        <v>1</v>
      </c>
      <c r="Y24" s="400"/>
      <c r="Z24" s="400"/>
      <c r="AA24" s="400">
        <v>28</v>
      </c>
      <c r="AB24" s="401">
        <v>482</v>
      </c>
      <c r="AC24" s="402">
        <v>686</v>
      </c>
      <c r="AD24" s="403">
        <f>SUM(X24:AC24)</f>
        <v>1197</v>
      </c>
      <c r="AE24" s="740"/>
      <c r="AG24" s="328" t="s">
        <v>298</v>
      </c>
      <c r="AH24" s="345"/>
      <c r="AI24" s="345"/>
      <c r="AJ24" s="345">
        <v>51</v>
      </c>
      <c r="AK24" s="345">
        <v>156</v>
      </c>
      <c r="AL24" s="345">
        <v>261</v>
      </c>
      <c r="AM24" s="346">
        <f>SUM(AH24:AL24)</f>
        <v>468</v>
      </c>
      <c r="AN24" s="739">
        <f>AM23/AM22</f>
        <v>0.67416829745596873</v>
      </c>
      <c r="AP24" s="416" t="s">
        <v>196</v>
      </c>
      <c r="AQ24" s="421"/>
      <c r="AR24" s="414"/>
      <c r="AS24" s="414"/>
      <c r="AT24" s="414"/>
      <c r="AU24" s="361">
        <v>4</v>
      </c>
      <c r="AV24" s="361">
        <v>89</v>
      </c>
      <c r="AW24" s="430">
        <v>257</v>
      </c>
      <c r="AX24" s="431">
        <f t="shared" ref="AX24:AX57" si="26">SUM(AQ24:AW24)</f>
        <v>350</v>
      </c>
      <c r="AY24" s="739">
        <f>AX23/AX22</f>
        <v>0.41765036537380551</v>
      </c>
    </row>
    <row r="25" spans="1:52" ht="15" x14ac:dyDescent="0.25">
      <c r="A25" s="111" t="s">
        <v>312</v>
      </c>
      <c r="B25" s="846"/>
      <c r="C25" s="846"/>
      <c r="D25" s="319"/>
      <c r="E25" s="319"/>
      <c r="F25" s="319">
        <v>17</v>
      </c>
      <c r="G25" s="319">
        <v>2148</v>
      </c>
      <c r="H25" s="320">
        <v>3398</v>
      </c>
      <c r="I25" s="321">
        <f>SUM(B25:H25)</f>
        <v>5563</v>
      </c>
      <c r="J25" s="276">
        <f t="shared" si="25"/>
        <v>9.5263374203712586E-2</v>
      </c>
      <c r="K25" s="743"/>
      <c r="M25" s="331" t="s">
        <v>312</v>
      </c>
      <c r="N25" s="364"/>
      <c r="O25" s="365"/>
      <c r="P25" s="365"/>
      <c r="Q25" s="365">
        <v>4</v>
      </c>
      <c r="R25" s="365">
        <v>1269</v>
      </c>
      <c r="S25" s="366">
        <v>2188</v>
      </c>
      <c r="T25" s="363">
        <f t="shared" ref="T25:T88" si="27">SUM(Q25:S25)</f>
        <v>3461</v>
      </c>
      <c r="U25" s="740"/>
      <c r="W25" s="328" t="s">
        <v>305</v>
      </c>
      <c r="X25" s="397"/>
      <c r="Y25" s="397"/>
      <c r="Z25" s="397"/>
      <c r="AA25" s="397">
        <v>10</v>
      </c>
      <c r="AB25" s="398">
        <v>177</v>
      </c>
      <c r="AC25" s="395">
        <v>770</v>
      </c>
      <c r="AD25" s="329">
        <f>SUM(X25:AC25)</f>
        <v>957</v>
      </c>
      <c r="AE25" s="740"/>
      <c r="AG25" s="328" t="s">
        <v>312</v>
      </c>
      <c r="AH25" s="337"/>
      <c r="AI25" s="337"/>
      <c r="AJ25" s="337"/>
      <c r="AK25" s="337">
        <v>50</v>
      </c>
      <c r="AL25" s="337">
        <v>48</v>
      </c>
      <c r="AM25" s="338">
        <f>SUM(AH25:AL25)</f>
        <v>98</v>
      </c>
      <c r="AN25" s="740"/>
      <c r="AP25" s="417" t="s">
        <v>199</v>
      </c>
      <c r="AQ25" s="422"/>
      <c r="AR25" s="337"/>
      <c r="AS25" s="337"/>
      <c r="AT25" s="337"/>
      <c r="AU25" s="365"/>
      <c r="AV25" s="365">
        <v>10</v>
      </c>
      <c r="AW25" s="432">
        <v>326</v>
      </c>
      <c r="AX25" s="433">
        <f t="shared" si="26"/>
        <v>336</v>
      </c>
      <c r="AY25" s="740"/>
    </row>
    <row r="26" spans="1:52" ht="15" x14ac:dyDescent="0.25">
      <c r="A26" s="111" t="s">
        <v>321</v>
      </c>
      <c r="B26" s="846"/>
      <c r="C26" s="846"/>
      <c r="D26" s="319"/>
      <c r="E26" s="319"/>
      <c r="F26" s="319">
        <v>114</v>
      </c>
      <c r="G26" s="319">
        <v>1645</v>
      </c>
      <c r="H26" s="320">
        <v>2781</v>
      </c>
      <c r="I26" s="321">
        <f>SUM(B26:H26)</f>
        <v>4540</v>
      </c>
      <c r="J26" s="276">
        <f t="shared" si="25"/>
        <v>7.774505103089252E-2</v>
      </c>
      <c r="K26" s="743"/>
      <c r="M26" s="331" t="s">
        <v>284</v>
      </c>
      <c r="N26" s="364"/>
      <c r="O26" s="365"/>
      <c r="P26" s="365"/>
      <c r="Q26" s="365">
        <v>197</v>
      </c>
      <c r="R26" s="365">
        <v>1198</v>
      </c>
      <c r="S26" s="366">
        <v>1689</v>
      </c>
      <c r="T26" s="363">
        <f t="shared" si="27"/>
        <v>3084</v>
      </c>
      <c r="U26" s="740"/>
      <c r="W26" s="328" t="s">
        <v>298</v>
      </c>
      <c r="X26" s="397"/>
      <c r="Y26" s="397"/>
      <c r="Z26" s="397"/>
      <c r="AA26" s="397"/>
      <c r="AB26" s="398">
        <v>211</v>
      </c>
      <c r="AC26" s="395">
        <v>206</v>
      </c>
      <c r="AD26" s="329">
        <f>SUM(X26:AC26)</f>
        <v>417</v>
      </c>
      <c r="AE26" s="740"/>
      <c r="AG26" s="328" t="s">
        <v>299</v>
      </c>
      <c r="AH26" s="337"/>
      <c r="AI26" s="337"/>
      <c r="AJ26" s="337">
        <v>1</v>
      </c>
      <c r="AK26" s="337"/>
      <c r="AL26" s="337">
        <v>72</v>
      </c>
      <c r="AM26" s="338">
        <f>SUM(AH26:AL26)</f>
        <v>73</v>
      </c>
      <c r="AN26" s="740"/>
      <c r="AP26" s="417" t="s">
        <v>197</v>
      </c>
      <c r="AQ26" s="422"/>
      <c r="AR26" s="337"/>
      <c r="AS26" s="337"/>
      <c r="AT26" s="337"/>
      <c r="AU26" s="365">
        <v>1</v>
      </c>
      <c r="AV26" s="365">
        <v>42</v>
      </c>
      <c r="AW26" s="432">
        <v>266</v>
      </c>
      <c r="AX26" s="433">
        <f t="shared" si="26"/>
        <v>309</v>
      </c>
      <c r="AY26" s="740"/>
    </row>
    <row r="27" spans="1:52" ht="15" x14ac:dyDescent="0.25">
      <c r="A27" s="111" t="s">
        <v>289</v>
      </c>
      <c r="B27" s="846"/>
      <c r="C27" s="846"/>
      <c r="D27" s="319"/>
      <c r="E27" s="319"/>
      <c r="F27" s="319">
        <v>10</v>
      </c>
      <c r="G27" s="319">
        <v>762</v>
      </c>
      <c r="H27" s="320">
        <v>2689</v>
      </c>
      <c r="I27" s="321">
        <f>SUM(B27:H27)</f>
        <v>3461</v>
      </c>
      <c r="J27" s="276">
        <f t="shared" si="25"/>
        <v>5.9267758065620936E-2</v>
      </c>
      <c r="K27" s="743"/>
      <c r="M27" s="331" t="s">
        <v>278</v>
      </c>
      <c r="N27" s="364"/>
      <c r="O27" s="365"/>
      <c r="P27" s="365"/>
      <c r="Q27" s="365">
        <v>38</v>
      </c>
      <c r="R27" s="365">
        <v>915</v>
      </c>
      <c r="S27" s="366">
        <v>820</v>
      </c>
      <c r="T27" s="363">
        <f t="shared" si="27"/>
        <v>1773</v>
      </c>
      <c r="U27" s="740"/>
      <c r="W27" s="328" t="s">
        <v>321</v>
      </c>
      <c r="X27" s="397"/>
      <c r="Y27" s="397"/>
      <c r="Z27" s="397"/>
      <c r="AA27" s="397"/>
      <c r="AB27" s="398">
        <v>178</v>
      </c>
      <c r="AC27" s="395">
        <v>154</v>
      </c>
      <c r="AD27" s="329">
        <f>SUM(X27:AC27)</f>
        <v>332</v>
      </c>
      <c r="AE27" s="740"/>
      <c r="AG27" s="328" t="s">
        <v>311</v>
      </c>
      <c r="AH27" s="337"/>
      <c r="AI27" s="337"/>
      <c r="AJ27" s="337">
        <v>1</v>
      </c>
      <c r="AK27" s="337"/>
      <c r="AL27" s="337">
        <v>23</v>
      </c>
      <c r="AM27" s="338">
        <f>SUM(AH27:AL27)</f>
        <v>24</v>
      </c>
      <c r="AN27" s="740"/>
      <c r="AP27" s="417" t="s">
        <v>271</v>
      </c>
      <c r="AQ27" s="422"/>
      <c r="AR27" s="337"/>
      <c r="AS27" s="337"/>
      <c r="AT27" s="337"/>
      <c r="AU27" s="365">
        <v>1</v>
      </c>
      <c r="AV27" s="365"/>
      <c r="AW27" s="432">
        <v>222</v>
      </c>
      <c r="AX27" s="433">
        <f t="shared" si="26"/>
        <v>223</v>
      </c>
      <c r="AY27" s="740"/>
    </row>
    <row r="28" spans="1:52" ht="15" x14ac:dyDescent="0.25">
      <c r="A28" s="111" t="s">
        <v>278</v>
      </c>
      <c r="B28" s="846"/>
      <c r="C28" s="846"/>
      <c r="D28" s="319"/>
      <c r="E28" s="319"/>
      <c r="F28" s="319">
        <v>39</v>
      </c>
      <c r="G28" s="319">
        <v>1245</v>
      </c>
      <c r="H28" s="320">
        <v>1321</v>
      </c>
      <c r="I28" s="321">
        <f>SUM(B28:H28)</f>
        <v>2605</v>
      </c>
      <c r="J28" s="276">
        <f t="shared" si="25"/>
        <v>4.4609219809575995E-2</v>
      </c>
      <c r="K28" s="743"/>
      <c r="M28" s="331" t="s">
        <v>280</v>
      </c>
      <c r="N28" s="364"/>
      <c r="O28" s="365"/>
      <c r="P28" s="365"/>
      <c r="Q28" s="365">
        <v>11</v>
      </c>
      <c r="R28" s="365">
        <v>738</v>
      </c>
      <c r="S28" s="366">
        <v>647</v>
      </c>
      <c r="T28" s="363">
        <f t="shared" si="27"/>
        <v>1396</v>
      </c>
      <c r="U28" s="740"/>
      <c r="W28" s="328" t="s">
        <v>315</v>
      </c>
      <c r="X28" s="397"/>
      <c r="Y28" s="397"/>
      <c r="Z28" s="397"/>
      <c r="AA28" s="397"/>
      <c r="AB28" s="398">
        <v>49</v>
      </c>
      <c r="AC28" s="395">
        <v>201</v>
      </c>
      <c r="AD28" s="329">
        <f>SUM(X28:AC28)</f>
        <v>250</v>
      </c>
      <c r="AE28" s="740"/>
      <c r="AG28" s="328" t="s">
        <v>315</v>
      </c>
      <c r="AH28" s="337"/>
      <c r="AI28" s="337"/>
      <c r="AJ28" s="337">
        <v>5</v>
      </c>
      <c r="AK28" s="337"/>
      <c r="AL28" s="337">
        <v>5</v>
      </c>
      <c r="AM28" s="338">
        <f>SUM(AH28:AL28)</f>
        <v>10</v>
      </c>
      <c r="AN28" s="740"/>
      <c r="AP28" s="417" t="s">
        <v>198</v>
      </c>
      <c r="AQ28" s="422"/>
      <c r="AR28" s="337"/>
      <c r="AS28" s="337"/>
      <c r="AT28" s="337"/>
      <c r="AU28" s="365"/>
      <c r="AV28" s="365">
        <v>76</v>
      </c>
      <c r="AW28" s="432">
        <v>140</v>
      </c>
      <c r="AX28" s="433">
        <f t="shared" si="26"/>
        <v>216</v>
      </c>
      <c r="AY28" s="740"/>
    </row>
    <row r="29" spans="1:52" ht="15" x14ac:dyDescent="0.25">
      <c r="A29" s="111" t="s">
        <v>309</v>
      </c>
      <c r="B29" s="846"/>
      <c r="C29" s="846"/>
      <c r="D29" s="319"/>
      <c r="E29" s="319"/>
      <c r="F29" s="319">
        <v>15</v>
      </c>
      <c r="G29" s="319">
        <v>714</v>
      </c>
      <c r="H29" s="320">
        <v>1786</v>
      </c>
      <c r="I29" s="321">
        <f>SUM(B29:H29)</f>
        <v>2515</v>
      </c>
      <c r="J29" s="276">
        <f t="shared" si="25"/>
        <v>4.3068018357421745E-2</v>
      </c>
      <c r="K29" s="743"/>
      <c r="M29" s="331" t="s">
        <v>298</v>
      </c>
      <c r="N29" s="364"/>
      <c r="O29" s="365"/>
      <c r="P29" s="365"/>
      <c r="Q29" s="365">
        <v>2</v>
      </c>
      <c r="R29" s="365">
        <v>224</v>
      </c>
      <c r="S29" s="366">
        <v>767</v>
      </c>
      <c r="T29" s="363">
        <f t="shared" si="27"/>
        <v>993</v>
      </c>
      <c r="U29" s="740"/>
      <c r="W29" s="328" t="s">
        <v>312</v>
      </c>
      <c r="X29" s="397"/>
      <c r="Y29" s="397"/>
      <c r="Z29" s="397"/>
      <c r="AA29" s="397">
        <v>3</v>
      </c>
      <c r="AB29" s="398">
        <v>33</v>
      </c>
      <c r="AC29" s="395">
        <v>206</v>
      </c>
      <c r="AD29" s="329">
        <f>SUM(X29:AC29)</f>
        <v>242</v>
      </c>
      <c r="AE29" s="740"/>
      <c r="AG29" s="328" t="s">
        <v>314</v>
      </c>
      <c r="AH29" s="337"/>
      <c r="AI29" s="337"/>
      <c r="AJ29" s="337"/>
      <c r="AK29" s="337">
        <v>7</v>
      </c>
      <c r="AL29" s="337">
        <v>1</v>
      </c>
      <c r="AM29" s="338">
        <f>SUM(AH29:AL29)</f>
        <v>8</v>
      </c>
      <c r="AN29" s="740"/>
      <c r="AP29" s="417" t="s">
        <v>205</v>
      </c>
      <c r="AQ29" s="422"/>
      <c r="AR29" s="337"/>
      <c r="AS29" s="337"/>
      <c r="AT29" s="337"/>
      <c r="AU29" s="365">
        <v>9</v>
      </c>
      <c r="AV29" s="365">
        <v>45</v>
      </c>
      <c r="AW29" s="432">
        <v>112</v>
      </c>
      <c r="AX29" s="433">
        <f t="shared" si="26"/>
        <v>166</v>
      </c>
      <c r="AY29" s="740"/>
    </row>
    <row r="30" spans="1:52" ht="15" x14ac:dyDescent="0.25">
      <c r="A30" s="111" t="s">
        <v>305</v>
      </c>
      <c r="B30" s="846"/>
      <c r="C30" s="846"/>
      <c r="D30" s="319"/>
      <c r="E30" s="319"/>
      <c r="F30" s="319">
        <v>13</v>
      </c>
      <c r="G30" s="319">
        <v>661</v>
      </c>
      <c r="H30" s="320">
        <v>1598</v>
      </c>
      <c r="I30" s="321">
        <f>SUM(B30:H30)</f>
        <v>2272</v>
      </c>
      <c r="J30" s="276">
        <f t="shared" si="25"/>
        <v>3.890677443660525E-2</v>
      </c>
      <c r="K30" s="743"/>
      <c r="M30" s="331" t="s">
        <v>309</v>
      </c>
      <c r="N30" s="364"/>
      <c r="O30" s="365"/>
      <c r="P30" s="365"/>
      <c r="Q30" s="365"/>
      <c r="R30" s="365">
        <v>208</v>
      </c>
      <c r="S30" s="366">
        <v>490</v>
      </c>
      <c r="T30" s="363">
        <f t="shared" si="27"/>
        <v>698</v>
      </c>
      <c r="U30" s="740"/>
      <c r="W30" s="328" t="s">
        <v>316</v>
      </c>
      <c r="X30" s="397"/>
      <c r="Y30" s="397"/>
      <c r="Z30" s="397"/>
      <c r="AA30" s="397">
        <v>4</v>
      </c>
      <c r="AB30" s="398">
        <v>89</v>
      </c>
      <c r="AC30" s="395">
        <v>89</v>
      </c>
      <c r="AD30" s="329">
        <f>SUM(X30:AC30)</f>
        <v>182</v>
      </c>
      <c r="AE30" s="740"/>
      <c r="AG30" s="328" t="s">
        <v>305</v>
      </c>
      <c r="AH30" s="337"/>
      <c r="AI30" s="337"/>
      <c r="AJ30" s="337"/>
      <c r="AK30" s="337">
        <v>5</v>
      </c>
      <c r="AL30" s="337">
        <v>1</v>
      </c>
      <c r="AM30" s="338">
        <f>SUM(AH30:AL30)</f>
        <v>6</v>
      </c>
      <c r="AN30" s="740"/>
      <c r="AP30" s="417" t="s">
        <v>201</v>
      </c>
      <c r="AQ30" s="422"/>
      <c r="AR30" s="337"/>
      <c r="AS30" s="337"/>
      <c r="AT30" s="337"/>
      <c r="AU30" s="365">
        <v>4</v>
      </c>
      <c r="AV30" s="365">
        <v>69</v>
      </c>
      <c r="AW30" s="432">
        <v>70</v>
      </c>
      <c r="AX30" s="433">
        <f t="shared" si="26"/>
        <v>143</v>
      </c>
      <c r="AY30" s="740"/>
    </row>
    <row r="31" spans="1:52" ht="15" x14ac:dyDescent="0.25">
      <c r="A31" s="111" t="s">
        <v>280</v>
      </c>
      <c r="B31" s="846"/>
      <c r="C31" s="846"/>
      <c r="D31" s="319"/>
      <c r="E31" s="319"/>
      <c r="F31" s="319">
        <v>14</v>
      </c>
      <c r="G31" s="319">
        <v>940</v>
      </c>
      <c r="H31" s="320">
        <v>1139</v>
      </c>
      <c r="I31" s="321">
        <f>SUM(B31:H31)</f>
        <v>2093</v>
      </c>
      <c r="J31" s="276">
        <f t="shared" si="25"/>
        <v>3.5841495992876227E-2</v>
      </c>
      <c r="K31" s="743"/>
      <c r="M31" s="331" t="s">
        <v>296</v>
      </c>
      <c r="N31" s="364"/>
      <c r="O31" s="365"/>
      <c r="P31" s="365"/>
      <c r="Q31" s="365"/>
      <c r="R31" s="365">
        <v>246</v>
      </c>
      <c r="S31" s="366">
        <v>433</v>
      </c>
      <c r="T31" s="363">
        <f t="shared" si="27"/>
        <v>679</v>
      </c>
      <c r="U31" s="740"/>
      <c r="W31" s="328" t="s">
        <v>285</v>
      </c>
      <c r="X31" s="397"/>
      <c r="Y31" s="397"/>
      <c r="Z31" s="397"/>
      <c r="AA31" s="397">
        <v>7</v>
      </c>
      <c r="AB31" s="398">
        <v>35</v>
      </c>
      <c r="AC31" s="395">
        <v>135</v>
      </c>
      <c r="AD31" s="329">
        <f>SUM(X31:AC31)</f>
        <v>177</v>
      </c>
      <c r="AE31" s="740"/>
      <c r="AG31" s="328" t="s">
        <v>277</v>
      </c>
      <c r="AH31" s="337"/>
      <c r="AI31" s="337"/>
      <c r="AJ31" s="337"/>
      <c r="AK31" s="337"/>
      <c r="AL31" s="337">
        <v>1</v>
      </c>
      <c r="AM31" s="338">
        <f>SUM(AH31:AL31)</f>
        <v>1</v>
      </c>
      <c r="AN31" s="740"/>
      <c r="AP31" s="417" t="s">
        <v>200</v>
      </c>
      <c r="AQ31" s="422"/>
      <c r="AR31" s="337"/>
      <c r="AS31" s="337"/>
      <c r="AT31" s="337"/>
      <c r="AU31" s="365">
        <v>2</v>
      </c>
      <c r="AV31" s="365">
        <v>105</v>
      </c>
      <c r="AW31" s="432">
        <v>23</v>
      </c>
      <c r="AX31" s="433">
        <f t="shared" si="26"/>
        <v>130</v>
      </c>
      <c r="AY31" s="740"/>
    </row>
    <row r="32" spans="1:52" ht="15.75" thickBot="1" x14ac:dyDescent="0.3">
      <c r="A32" s="111" t="s">
        <v>310</v>
      </c>
      <c r="B32" s="846"/>
      <c r="C32" s="846"/>
      <c r="D32" s="319"/>
      <c r="E32" s="319"/>
      <c r="F32" s="319">
        <v>10</v>
      </c>
      <c r="G32" s="319">
        <v>349</v>
      </c>
      <c r="H32" s="320">
        <v>1380</v>
      </c>
      <c r="I32" s="321">
        <f>SUM(B32:H32)</f>
        <v>1739</v>
      </c>
      <c r="J32" s="276">
        <f t="shared" si="25"/>
        <v>2.9779436947736146E-2</v>
      </c>
      <c r="K32" s="743"/>
      <c r="M32" s="331" t="s">
        <v>310</v>
      </c>
      <c r="N32" s="364"/>
      <c r="O32" s="365"/>
      <c r="P32" s="365"/>
      <c r="Q32" s="365">
        <v>2</v>
      </c>
      <c r="R32" s="365">
        <v>95</v>
      </c>
      <c r="S32" s="366">
        <v>399</v>
      </c>
      <c r="T32" s="363">
        <f t="shared" si="27"/>
        <v>496</v>
      </c>
      <c r="U32" s="740"/>
      <c r="W32" s="328" t="s">
        <v>322</v>
      </c>
      <c r="X32" s="397"/>
      <c r="Y32" s="397"/>
      <c r="Z32" s="397"/>
      <c r="AA32" s="397"/>
      <c r="AB32" s="398">
        <v>27</v>
      </c>
      <c r="AC32" s="395">
        <v>69</v>
      </c>
      <c r="AD32" s="329">
        <f>SUM(X32:AC32)</f>
        <v>96</v>
      </c>
      <c r="AE32" s="740"/>
      <c r="AG32" s="328" t="s">
        <v>285</v>
      </c>
      <c r="AH32" s="340"/>
      <c r="AI32" s="340"/>
      <c r="AJ32" s="340"/>
      <c r="AK32" s="340">
        <v>1</v>
      </c>
      <c r="AL32" s="340"/>
      <c r="AM32" s="341">
        <f>SUM(AH32:AL32)</f>
        <v>1</v>
      </c>
      <c r="AN32" s="741"/>
      <c r="AP32" s="417" t="s">
        <v>202</v>
      </c>
      <c r="AQ32" s="422"/>
      <c r="AR32" s="337"/>
      <c r="AS32" s="337"/>
      <c r="AT32" s="337"/>
      <c r="AU32" s="365">
        <v>2</v>
      </c>
      <c r="AV32" s="365">
        <v>24</v>
      </c>
      <c r="AW32" s="432">
        <v>39</v>
      </c>
      <c r="AX32" s="433">
        <f t="shared" si="26"/>
        <v>65</v>
      </c>
      <c r="AY32" s="740"/>
    </row>
    <row r="33" spans="1:51" ht="16.5" thickTop="1" thickBot="1" x14ac:dyDescent="0.3">
      <c r="A33" s="111" t="s">
        <v>298</v>
      </c>
      <c r="B33" s="846"/>
      <c r="C33" s="846"/>
      <c r="D33" s="319"/>
      <c r="E33" s="319"/>
      <c r="F33" s="319">
        <v>6</v>
      </c>
      <c r="G33" s="319">
        <v>308</v>
      </c>
      <c r="H33" s="320">
        <v>1420</v>
      </c>
      <c r="I33" s="321">
        <f>SUM(B33:H33)</f>
        <v>1734</v>
      </c>
      <c r="J33" s="276">
        <f t="shared" si="25"/>
        <v>2.9693814644838688E-2</v>
      </c>
      <c r="K33" s="743"/>
      <c r="M33" s="331" t="s">
        <v>324</v>
      </c>
      <c r="N33" s="364"/>
      <c r="O33" s="365"/>
      <c r="P33" s="365"/>
      <c r="Q33" s="365"/>
      <c r="R33" s="365">
        <v>195</v>
      </c>
      <c r="S33" s="366">
        <v>295</v>
      </c>
      <c r="T33" s="363">
        <f t="shared" si="27"/>
        <v>490</v>
      </c>
      <c r="U33" s="740"/>
      <c r="W33" s="328" t="s">
        <v>314</v>
      </c>
      <c r="X33" s="397"/>
      <c r="Y33" s="397"/>
      <c r="Z33" s="397"/>
      <c r="AA33" s="397"/>
      <c r="AB33" s="398">
        <v>9</v>
      </c>
      <c r="AC33" s="395">
        <v>56</v>
      </c>
      <c r="AD33" s="329">
        <f>SUM(X33:AC33)</f>
        <v>65</v>
      </c>
      <c r="AE33" s="740"/>
      <c r="AG33" s="332" t="s">
        <v>204</v>
      </c>
      <c r="AH33" s="334"/>
      <c r="AI33" s="334"/>
      <c r="AJ33" s="334">
        <f>SUM(AJ34:AJ35)</f>
        <v>7</v>
      </c>
      <c r="AK33" s="334">
        <f t="shared" ref="AK33:AL33" si="28">SUM(AK34:AK35)</f>
        <v>21</v>
      </c>
      <c r="AL33" s="334">
        <f t="shared" si="28"/>
        <v>74</v>
      </c>
      <c r="AM33" s="335">
        <f>SUM(AH33:AL33)</f>
        <v>102</v>
      </c>
      <c r="AP33" s="417" t="s">
        <v>203</v>
      </c>
      <c r="AQ33" s="422"/>
      <c r="AR33" s="337"/>
      <c r="AS33" s="337"/>
      <c r="AT33" s="337"/>
      <c r="AU33" s="365">
        <v>2</v>
      </c>
      <c r="AV33" s="365">
        <v>22</v>
      </c>
      <c r="AW33" s="432">
        <v>34</v>
      </c>
      <c r="AX33" s="433">
        <f t="shared" si="26"/>
        <v>58</v>
      </c>
      <c r="AY33" s="740"/>
    </row>
    <row r="34" spans="1:51" ht="15.75" thickTop="1" x14ac:dyDescent="0.25">
      <c r="A34" s="111" t="s">
        <v>324</v>
      </c>
      <c r="B34" s="846"/>
      <c r="C34" s="846"/>
      <c r="D34" s="319"/>
      <c r="E34" s="319"/>
      <c r="F34" s="319">
        <v>6</v>
      </c>
      <c r="G34" s="319">
        <v>565</v>
      </c>
      <c r="H34" s="320">
        <v>1000</v>
      </c>
      <c r="I34" s="321">
        <f>SUM(B34:H34)</f>
        <v>1571</v>
      </c>
      <c r="J34" s="276">
        <f t="shared" si="25"/>
        <v>2.6902527570381533E-2</v>
      </c>
      <c r="K34" s="743"/>
      <c r="M34" s="331" t="s">
        <v>294</v>
      </c>
      <c r="N34" s="364"/>
      <c r="O34" s="365"/>
      <c r="P34" s="365"/>
      <c r="Q34" s="365"/>
      <c r="R34" s="365">
        <v>195</v>
      </c>
      <c r="S34" s="366">
        <v>223</v>
      </c>
      <c r="T34" s="363">
        <f t="shared" si="27"/>
        <v>418</v>
      </c>
      <c r="U34" s="740"/>
      <c r="W34" s="328" t="s">
        <v>299</v>
      </c>
      <c r="X34" s="397"/>
      <c r="Y34" s="397"/>
      <c r="Z34" s="397"/>
      <c r="AA34" s="397"/>
      <c r="AB34" s="398">
        <v>6</v>
      </c>
      <c r="AC34" s="395">
        <v>48</v>
      </c>
      <c r="AD34" s="329">
        <f>SUM(X34:AC34)</f>
        <v>54</v>
      </c>
      <c r="AE34" s="740"/>
      <c r="AG34" s="328" t="s">
        <v>312</v>
      </c>
      <c r="AH34" s="345"/>
      <c r="AI34" s="345"/>
      <c r="AJ34" s="345">
        <v>3</v>
      </c>
      <c r="AK34" s="345">
        <v>19</v>
      </c>
      <c r="AL34" s="345">
        <v>60</v>
      </c>
      <c r="AM34" s="346">
        <f t="shared" ref="AM34:AM35" si="29">SUM(AJ34:AL34)</f>
        <v>82</v>
      </c>
      <c r="AN34" s="747">
        <f>AM33/AM22</f>
        <v>9.9804305283757333E-2</v>
      </c>
      <c r="AP34" s="417" t="s">
        <v>207</v>
      </c>
      <c r="AQ34" s="422"/>
      <c r="AR34" s="337"/>
      <c r="AS34" s="337"/>
      <c r="AT34" s="337"/>
      <c r="AU34" s="365">
        <v>3</v>
      </c>
      <c r="AV34" s="365">
        <v>27</v>
      </c>
      <c r="AW34" s="432">
        <v>11</v>
      </c>
      <c r="AX34" s="433">
        <f t="shared" si="26"/>
        <v>41</v>
      </c>
      <c r="AY34" s="740"/>
    </row>
    <row r="35" spans="1:51" ht="15.75" thickBot="1" x14ac:dyDescent="0.3">
      <c r="A35" s="111" t="s">
        <v>322</v>
      </c>
      <c r="B35" s="846"/>
      <c r="C35" s="846"/>
      <c r="D35" s="319"/>
      <c r="E35" s="319"/>
      <c r="F35" s="319">
        <v>62</v>
      </c>
      <c r="G35" s="319">
        <v>347</v>
      </c>
      <c r="H35" s="320">
        <v>970</v>
      </c>
      <c r="I35" s="321">
        <f>SUM(B35:H35)</f>
        <v>1379</v>
      </c>
      <c r="J35" s="276">
        <f t="shared" si="25"/>
        <v>2.3614631139119116E-2</v>
      </c>
      <c r="K35" s="743"/>
      <c r="M35" s="331" t="s">
        <v>305</v>
      </c>
      <c r="N35" s="364"/>
      <c r="O35" s="365"/>
      <c r="P35" s="365"/>
      <c r="Q35" s="365">
        <v>1</v>
      </c>
      <c r="R35" s="365">
        <v>113</v>
      </c>
      <c r="S35" s="366">
        <v>208</v>
      </c>
      <c r="T35" s="363">
        <f t="shared" si="27"/>
        <v>322</v>
      </c>
      <c r="U35" s="740"/>
      <c r="W35" s="328" t="s">
        <v>311</v>
      </c>
      <c r="X35" s="397"/>
      <c r="Y35" s="397"/>
      <c r="Z35" s="397"/>
      <c r="AA35" s="397"/>
      <c r="AB35" s="398">
        <v>8</v>
      </c>
      <c r="AC35" s="395">
        <v>22</v>
      </c>
      <c r="AD35" s="329">
        <f>SUM(X35:AC35)</f>
        <v>30</v>
      </c>
      <c r="AE35" s="740"/>
      <c r="AG35" s="328" t="s">
        <v>314</v>
      </c>
      <c r="AH35" s="337"/>
      <c r="AI35" s="337"/>
      <c r="AJ35" s="337">
        <v>4</v>
      </c>
      <c r="AK35" s="337">
        <v>2</v>
      </c>
      <c r="AL35" s="337">
        <v>14</v>
      </c>
      <c r="AM35" s="338">
        <f t="shared" si="29"/>
        <v>20</v>
      </c>
      <c r="AN35" s="748"/>
      <c r="AP35" s="417" t="s">
        <v>208</v>
      </c>
      <c r="AQ35" s="422"/>
      <c r="AR35" s="337"/>
      <c r="AS35" s="337"/>
      <c r="AT35" s="337"/>
      <c r="AU35" s="365">
        <v>1</v>
      </c>
      <c r="AV35" s="365">
        <v>27</v>
      </c>
      <c r="AW35" s="432">
        <v>4</v>
      </c>
      <c r="AX35" s="433">
        <f t="shared" si="26"/>
        <v>32</v>
      </c>
      <c r="AY35" s="740"/>
    </row>
    <row r="36" spans="1:51" ht="16.5" thickTop="1" thickBot="1" x14ac:dyDescent="0.3">
      <c r="A36" s="111" t="s">
        <v>296</v>
      </c>
      <c r="B36" s="846"/>
      <c r="C36" s="846"/>
      <c r="D36" s="319"/>
      <c r="E36" s="319"/>
      <c r="F36" s="319"/>
      <c r="G36" s="319">
        <v>431</v>
      </c>
      <c r="H36" s="320">
        <v>823</v>
      </c>
      <c r="I36" s="321">
        <f>SUM(B36:H36)</f>
        <v>1254</v>
      </c>
      <c r="J36" s="276">
        <f t="shared" si="25"/>
        <v>2.1474073566682648E-2</v>
      </c>
      <c r="K36" s="743"/>
      <c r="M36" s="331" t="s">
        <v>285</v>
      </c>
      <c r="N36" s="364"/>
      <c r="O36" s="365"/>
      <c r="P36" s="365"/>
      <c r="Q36" s="365">
        <v>1</v>
      </c>
      <c r="R36" s="365">
        <v>110</v>
      </c>
      <c r="S36" s="366">
        <v>207</v>
      </c>
      <c r="T36" s="363">
        <f t="shared" si="27"/>
        <v>318</v>
      </c>
      <c r="U36" s="740"/>
      <c r="W36" s="328" t="s">
        <v>306</v>
      </c>
      <c r="X36" s="397"/>
      <c r="Y36" s="397"/>
      <c r="Z36" s="397"/>
      <c r="AA36" s="397"/>
      <c r="AB36" s="398">
        <v>12</v>
      </c>
      <c r="AC36" s="395">
        <v>17</v>
      </c>
      <c r="AD36" s="329">
        <f>SUM(X36:AC36)</f>
        <v>29</v>
      </c>
      <c r="AE36" s="740"/>
      <c r="AG36" s="332" t="s">
        <v>274</v>
      </c>
      <c r="AH36" s="334"/>
      <c r="AI36" s="334"/>
      <c r="AJ36" s="334">
        <f>SUM(AJ37:AJ38)</f>
        <v>1</v>
      </c>
      <c r="AK36" s="334">
        <f t="shared" ref="AK36:AL36" si="30">SUM(AK37:AK38)</f>
        <v>29</v>
      </c>
      <c r="AL36" s="334">
        <f t="shared" si="30"/>
        <v>133</v>
      </c>
      <c r="AM36" s="335">
        <f>SUM(AH36:AL36)</f>
        <v>163</v>
      </c>
      <c r="AP36" s="417" t="s">
        <v>206</v>
      </c>
      <c r="AQ36" s="422"/>
      <c r="AR36" s="337"/>
      <c r="AS36" s="337"/>
      <c r="AT36" s="337"/>
      <c r="AU36" s="365"/>
      <c r="AV36" s="365">
        <v>14</v>
      </c>
      <c r="AW36" s="432">
        <v>15</v>
      </c>
      <c r="AX36" s="433">
        <f t="shared" si="26"/>
        <v>29</v>
      </c>
      <c r="AY36" s="740"/>
    </row>
    <row r="37" spans="1:51" ht="15.75" thickTop="1" x14ac:dyDescent="0.25">
      <c r="A37" s="111" t="s">
        <v>303</v>
      </c>
      <c r="B37" s="846"/>
      <c r="C37" s="319">
        <v>1</v>
      </c>
      <c r="D37" s="319"/>
      <c r="E37" s="319"/>
      <c r="F37" s="319">
        <v>3</v>
      </c>
      <c r="G37" s="319">
        <v>323</v>
      </c>
      <c r="H37" s="320">
        <v>583</v>
      </c>
      <c r="I37" s="321">
        <f>SUM(B37:H37)</f>
        <v>910</v>
      </c>
      <c r="J37" s="276">
        <f t="shared" si="25"/>
        <v>1.5583259127337488E-2</v>
      </c>
      <c r="K37" s="743"/>
      <c r="M37" s="331" t="s">
        <v>316</v>
      </c>
      <c r="N37" s="364"/>
      <c r="O37" s="365"/>
      <c r="P37" s="365"/>
      <c r="Q37" s="365">
        <v>3</v>
      </c>
      <c r="R37" s="365">
        <v>99</v>
      </c>
      <c r="S37" s="366">
        <v>212</v>
      </c>
      <c r="T37" s="363">
        <f t="shared" si="27"/>
        <v>314</v>
      </c>
      <c r="U37" s="740"/>
      <c r="W37" s="328" t="s">
        <v>317</v>
      </c>
      <c r="X37" s="397"/>
      <c r="Y37" s="397"/>
      <c r="Z37" s="397"/>
      <c r="AA37" s="397"/>
      <c r="AB37" s="398"/>
      <c r="AC37" s="395">
        <v>21</v>
      </c>
      <c r="AD37" s="329">
        <f>SUM(X37:AC37)</f>
        <v>21</v>
      </c>
      <c r="AE37" s="740"/>
      <c r="AG37" s="328" t="s">
        <v>312</v>
      </c>
      <c r="AH37" s="337"/>
      <c r="AI37" s="337"/>
      <c r="AJ37" s="337"/>
      <c r="AK37" s="337">
        <v>27</v>
      </c>
      <c r="AL37" s="337">
        <v>122</v>
      </c>
      <c r="AM37" s="338">
        <f>SUM(AH37:AL37)</f>
        <v>149</v>
      </c>
      <c r="AN37" s="747">
        <f>AM36/AM22</f>
        <v>0.15949119373776907</v>
      </c>
      <c r="AP37" s="417" t="s">
        <v>265</v>
      </c>
      <c r="AQ37" s="422"/>
      <c r="AR37" s="337"/>
      <c r="AS37" s="337"/>
      <c r="AT37" s="337"/>
      <c r="AU37" s="365"/>
      <c r="AV37" s="365">
        <v>23</v>
      </c>
      <c r="AW37" s="432">
        <v>2</v>
      </c>
      <c r="AX37" s="433">
        <f t="shared" si="26"/>
        <v>25</v>
      </c>
      <c r="AY37" s="740"/>
    </row>
    <row r="38" spans="1:51" ht="15.75" thickBot="1" x14ac:dyDescent="0.3">
      <c r="A38" s="111" t="s">
        <v>285</v>
      </c>
      <c r="B38" s="846"/>
      <c r="C38" s="846"/>
      <c r="D38" s="319"/>
      <c r="E38" s="319"/>
      <c r="F38" s="319">
        <v>7</v>
      </c>
      <c r="G38" s="319">
        <v>195</v>
      </c>
      <c r="H38" s="320">
        <v>534</v>
      </c>
      <c r="I38" s="321">
        <f>SUM(B38:H38)</f>
        <v>736</v>
      </c>
      <c r="J38" s="276">
        <f t="shared" si="25"/>
        <v>1.2603602986505926E-2</v>
      </c>
      <c r="K38" s="743"/>
      <c r="M38" s="331" t="s">
        <v>306</v>
      </c>
      <c r="N38" s="364"/>
      <c r="O38" s="365"/>
      <c r="P38" s="365"/>
      <c r="Q38" s="365">
        <v>7</v>
      </c>
      <c r="R38" s="365">
        <v>129</v>
      </c>
      <c r="S38" s="366">
        <v>159</v>
      </c>
      <c r="T38" s="363">
        <f t="shared" si="27"/>
        <v>295</v>
      </c>
      <c r="U38" s="740"/>
      <c r="W38" s="328" t="s">
        <v>296</v>
      </c>
      <c r="X38" s="397"/>
      <c r="Y38" s="397"/>
      <c r="Z38" s="397"/>
      <c r="AA38" s="397"/>
      <c r="AB38" s="398"/>
      <c r="AC38" s="395">
        <v>11</v>
      </c>
      <c r="AD38" s="329">
        <f>SUM(X38:AC38)</f>
        <v>11</v>
      </c>
      <c r="AE38" s="740"/>
      <c r="AG38" s="328" t="s">
        <v>314</v>
      </c>
      <c r="AH38" s="337"/>
      <c r="AI38" s="337"/>
      <c r="AJ38" s="337">
        <v>1</v>
      </c>
      <c r="AK38" s="337">
        <v>2</v>
      </c>
      <c r="AL38" s="337">
        <v>11</v>
      </c>
      <c r="AM38" s="338">
        <f>SUM(AH38:AL38)</f>
        <v>14</v>
      </c>
      <c r="AN38" s="748"/>
      <c r="AP38" s="417" t="s">
        <v>269</v>
      </c>
      <c r="AQ38" s="422"/>
      <c r="AR38" s="337"/>
      <c r="AS38" s="337"/>
      <c r="AT38" s="337"/>
      <c r="AU38" s="365"/>
      <c r="AV38" s="365"/>
      <c r="AW38" s="432">
        <v>22</v>
      </c>
      <c r="AX38" s="433">
        <f t="shared" si="26"/>
        <v>22</v>
      </c>
      <c r="AY38" s="740"/>
    </row>
    <row r="39" spans="1:51" ht="16.5" thickTop="1" thickBot="1" x14ac:dyDescent="0.3">
      <c r="A39" s="111" t="s">
        <v>316</v>
      </c>
      <c r="B39" s="846"/>
      <c r="C39" s="846"/>
      <c r="D39" s="319"/>
      <c r="E39" s="319"/>
      <c r="F39" s="319">
        <v>5</v>
      </c>
      <c r="G39" s="319">
        <v>220</v>
      </c>
      <c r="H39" s="320">
        <v>470</v>
      </c>
      <c r="I39" s="321">
        <f>SUM(B39:H39)</f>
        <v>695</v>
      </c>
      <c r="J39" s="276">
        <f t="shared" si="25"/>
        <v>1.1901500102746763E-2</v>
      </c>
      <c r="K39" s="743"/>
      <c r="M39" s="331" t="s">
        <v>291</v>
      </c>
      <c r="N39" s="364"/>
      <c r="O39" s="365"/>
      <c r="P39" s="365"/>
      <c r="Q39" s="365"/>
      <c r="R39" s="365">
        <v>94</v>
      </c>
      <c r="S39" s="366">
        <v>151</v>
      </c>
      <c r="T39" s="363">
        <f t="shared" si="27"/>
        <v>245</v>
      </c>
      <c r="U39" s="740"/>
      <c r="W39" s="328" t="s">
        <v>283</v>
      </c>
      <c r="X39" s="397"/>
      <c r="Y39" s="397"/>
      <c r="Z39" s="397"/>
      <c r="AA39" s="397"/>
      <c r="AB39" s="398">
        <v>2</v>
      </c>
      <c r="AC39" s="395">
        <v>3</v>
      </c>
      <c r="AD39" s="329">
        <f>SUM(X39:AC39)</f>
        <v>5</v>
      </c>
      <c r="AE39" s="740"/>
      <c r="AG39" s="332" t="s">
        <v>210</v>
      </c>
      <c r="AH39" s="334"/>
      <c r="AI39" s="334"/>
      <c r="AJ39" s="334">
        <f>SUM(AJ40:AJ42)</f>
        <v>3</v>
      </c>
      <c r="AK39" s="334">
        <f t="shared" ref="AK39:AL39" si="31">SUM(AK40:AK42)</f>
        <v>5</v>
      </c>
      <c r="AL39" s="334">
        <f t="shared" si="31"/>
        <v>31</v>
      </c>
      <c r="AM39" s="335">
        <f>SUM(AH39:AL39)</f>
        <v>39</v>
      </c>
      <c r="AP39" s="417" t="s">
        <v>209</v>
      </c>
      <c r="AQ39" s="422"/>
      <c r="AR39" s="337"/>
      <c r="AS39" s="337"/>
      <c r="AT39" s="337"/>
      <c r="AU39" s="365"/>
      <c r="AV39" s="365">
        <v>7</v>
      </c>
      <c r="AW39" s="432">
        <v>14</v>
      </c>
      <c r="AX39" s="433">
        <f t="shared" si="26"/>
        <v>21</v>
      </c>
      <c r="AY39" s="740"/>
    </row>
    <row r="40" spans="1:51" ht="15.75" thickTop="1" x14ac:dyDescent="0.25">
      <c r="A40" s="111" t="s">
        <v>308</v>
      </c>
      <c r="B40" s="846"/>
      <c r="C40" s="846"/>
      <c r="D40" s="319"/>
      <c r="E40" s="319"/>
      <c r="F40" s="319">
        <v>20</v>
      </c>
      <c r="G40" s="319">
        <v>211</v>
      </c>
      <c r="H40" s="320">
        <v>459</v>
      </c>
      <c r="I40" s="321">
        <f>SUM(B40:H40)</f>
        <v>690</v>
      </c>
      <c r="J40" s="276">
        <f t="shared" si="25"/>
        <v>1.1815877799849306E-2</v>
      </c>
      <c r="K40" s="743"/>
      <c r="M40" s="331" t="s">
        <v>317</v>
      </c>
      <c r="N40" s="364"/>
      <c r="O40" s="365"/>
      <c r="P40" s="365"/>
      <c r="Q40" s="365">
        <v>8</v>
      </c>
      <c r="R40" s="365">
        <v>71</v>
      </c>
      <c r="S40" s="366">
        <v>136</v>
      </c>
      <c r="T40" s="363">
        <f t="shared" si="27"/>
        <v>215</v>
      </c>
      <c r="U40" s="740"/>
      <c r="W40" s="328" t="s">
        <v>287</v>
      </c>
      <c r="X40" s="397"/>
      <c r="Y40" s="397"/>
      <c r="Z40" s="397"/>
      <c r="AA40" s="397">
        <v>1</v>
      </c>
      <c r="AB40" s="398">
        <v>2</v>
      </c>
      <c r="AC40" s="395"/>
      <c r="AD40" s="329">
        <f>SUM(X40:AC40)</f>
        <v>3</v>
      </c>
      <c r="AE40" s="740"/>
      <c r="AG40" s="328" t="s">
        <v>312</v>
      </c>
      <c r="AH40" s="337"/>
      <c r="AI40" s="337"/>
      <c r="AJ40" s="337">
        <v>3</v>
      </c>
      <c r="AK40" s="337">
        <v>5</v>
      </c>
      <c r="AL40" s="337">
        <v>28</v>
      </c>
      <c r="AM40" s="338">
        <f>SUM(AH40:AL40)</f>
        <v>36</v>
      </c>
      <c r="AN40" s="747">
        <f>AM39/AM22</f>
        <v>3.816046966731898E-2</v>
      </c>
      <c r="AP40" s="417" t="s">
        <v>267</v>
      </c>
      <c r="AQ40" s="422"/>
      <c r="AR40" s="337"/>
      <c r="AS40" s="337"/>
      <c r="AT40" s="337"/>
      <c r="AU40" s="365">
        <v>6</v>
      </c>
      <c r="AV40" s="365">
        <v>3</v>
      </c>
      <c r="AW40" s="432">
        <v>9</v>
      </c>
      <c r="AX40" s="433">
        <f t="shared" si="26"/>
        <v>18</v>
      </c>
      <c r="AY40" s="740"/>
    </row>
    <row r="41" spans="1:51" ht="15" x14ac:dyDescent="0.25">
      <c r="A41" s="111" t="s">
        <v>311</v>
      </c>
      <c r="B41" s="846"/>
      <c r="C41" s="846"/>
      <c r="D41" s="319"/>
      <c r="E41" s="319"/>
      <c r="F41" s="319"/>
      <c r="G41" s="319">
        <v>172</v>
      </c>
      <c r="H41" s="320">
        <v>461</v>
      </c>
      <c r="I41" s="321">
        <f>SUM(B41:H41)</f>
        <v>633</v>
      </c>
      <c r="J41" s="276">
        <f t="shared" si="25"/>
        <v>1.0839783546818275E-2</v>
      </c>
      <c r="K41" s="743"/>
      <c r="M41" s="331" t="s">
        <v>279</v>
      </c>
      <c r="N41" s="364"/>
      <c r="O41" s="365"/>
      <c r="P41" s="365"/>
      <c r="Q41" s="365">
        <v>1</v>
      </c>
      <c r="R41" s="365">
        <v>42</v>
      </c>
      <c r="S41" s="366">
        <v>142</v>
      </c>
      <c r="T41" s="363">
        <f t="shared" si="27"/>
        <v>185</v>
      </c>
      <c r="U41" s="740"/>
      <c r="W41" s="328" t="s">
        <v>277</v>
      </c>
      <c r="X41" s="397"/>
      <c r="Y41" s="397"/>
      <c r="Z41" s="397"/>
      <c r="AA41" s="397"/>
      <c r="AB41" s="398"/>
      <c r="AC41" s="395">
        <v>2</v>
      </c>
      <c r="AD41" s="329">
        <f>SUM(X41:AC41)</f>
        <v>2</v>
      </c>
      <c r="AE41" s="740"/>
      <c r="AG41" s="328" t="s">
        <v>314</v>
      </c>
      <c r="AH41" s="337"/>
      <c r="AI41" s="337"/>
      <c r="AJ41" s="337"/>
      <c r="AK41" s="337"/>
      <c r="AL41" s="337">
        <v>2</v>
      </c>
      <c r="AM41" s="338">
        <f>SUM(AH41:AL41)</f>
        <v>2</v>
      </c>
      <c r="AN41" s="749"/>
      <c r="AP41" s="417" t="s">
        <v>327</v>
      </c>
      <c r="AQ41" s="422"/>
      <c r="AR41" s="337"/>
      <c r="AS41" s="337"/>
      <c r="AT41" s="337"/>
      <c r="AU41" s="365"/>
      <c r="AV41" s="365">
        <v>16</v>
      </c>
      <c r="AW41" s="432"/>
      <c r="AX41" s="433">
        <f t="shared" si="26"/>
        <v>16</v>
      </c>
      <c r="AY41" s="740"/>
    </row>
    <row r="42" spans="1:51" ht="15.75" thickBot="1" x14ac:dyDescent="0.3">
      <c r="A42" s="111" t="s">
        <v>315</v>
      </c>
      <c r="B42" s="846"/>
      <c r="C42" s="846"/>
      <c r="D42" s="319"/>
      <c r="E42" s="319"/>
      <c r="F42" s="319">
        <v>3</v>
      </c>
      <c r="G42" s="319">
        <v>181</v>
      </c>
      <c r="H42" s="320">
        <v>375</v>
      </c>
      <c r="I42" s="321">
        <f>SUM(B42:H42)</f>
        <v>559</v>
      </c>
      <c r="J42" s="276">
        <f t="shared" si="25"/>
        <v>9.5725734639358854E-3</v>
      </c>
      <c r="K42" s="743"/>
      <c r="M42" s="331" t="s">
        <v>319</v>
      </c>
      <c r="N42" s="364"/>
      <c r="O42" s="365"/>
      <c r="P42" s="365"/>
      <c r="Q42" s="365"/>
      <c r="R42" s="365">
        <v>60</v>
      </c>
      <c r="S42" s="366">
        <v>113</v>
      </c>
      <c r="T42" s="363">
        <f t="shared" si="27"/>
        <v>173</v>
      </c>
      <c r="U42" s="740"/>
      <c r="W42" s="328" t="s">
        <v>282</v>
      </c>
      <c r="X42" s="397"/>
      <c r="Y42" s="397"/>
      <c r="Z42" s="397"/>
      <c r="AA42" s="397"/>
      <c r="AB42" s="398">
        <v>1</v>
      </c>
      <c r="AC42" s="395">
        <v>1</v>
      </c>
      <c r="AD42" s="329">
        <f>SUM(X42:AC42)</f>
        <v>2</v>
      </c>
      <c r="AE42" s="740"/>
      <c r="AG42" s="328" t="s">
        <v>305</v>
      </c>
      <c r="AH42" s="337"/>
      <c r="AI42" s="337"/>
      <c r="AJ42" s="337"/>
      <c r="AK42" s="337"/>
      <c r="AL42" s="337">
        <v>1</v>
      </c>
      <c r="AM42" s="338">
        <f>SUM(AH42:AL42)</f>
        <v>1</v>
      </c>
      <c r="AN42" s="748"/>
      <c r="AP42" s="417" t="s">
        <v>266</v>
      </c>
      <c r="AQ42" s="422"/>
      <c r="AR42" s="337"/>
      <c r="AS42" s="337"/>
      <c r="AT42" s="337"/>
      <c r="AU42" s="365"/>
      <c r="AV42" s="365">
        <v>4</v>
      </c>
      <c r="AW42" s="432">
        <v>5</v>
      </c>
      <c r="AX42" s="433">
        <f t="shared" si="26"/>
        <v>9</v>
      </c>
      <c r="AY42" s="740"/>
    </row>
    <row r="43" spans="1:51" ht="16.5" thickTop="1" thickBot="1" x14ac:dyDescent="0.3">
      <c r="A43" s="111" t="s">
        <v>317</v>
      </c>
      <c r="B43" s="846"/>
      <c r="C43" s="846"/>
      <c r="D43" s="319"/>
      <c r="E43" s="319"/>
      <c r="F43" s="319">
        <v>14</v>
      </c>
      <c r="G43" s="319">
        <v>227</v>
      </c>
      <c r="H43" s="320">
        <v>315</v>
      </c>
      <c r="I43" s="321">
        <f>SUM(B43:H43)</f>
        <v>556</v>
      </c>
      <c r="J43" s="276">
        <f t="shared" si="25"/>
        <v>9.5212000821974108E-3</v>
      </c>
      <c r="K43" s="743"/>
      <c r="M43" s="331" t="s">
        <v>315</v>
      </c>
      <c r="N43" s="364"/>
      <c r="O43" s="365"/>
      <c r="P43" s="365"/>
      <c r="Q43" s="365">
        <v>2</v>
      </c>
      <c r="R43" s="365">
        <v>65</v>
      </c>
      <c r="S43" s="366">
        <v>70</v>
      </c>
      <c r="T43" s="363">
        <f t="shared" si="27"/>
        <v>137</v>
      </c>
      <c r="U43" s="740"/>
      <c r="W43" s="328" t="s">
        <v>294</v>
      </c>
      <c r="X43" s="397"/>
      <c r="Y43" s="397"/>
      <c r="Z43" s="397"/>
      <c r="AA43" s="397"/>
      <c r="AB43" s="398">
        <v>2</v>
      </c>
      <c r="AC43" s="395"/>
      <c r="AD43" s="329">
        <f>SUM(X43:AC43)</f>
        <v>2</v>
      </c>
      <c r="AE43" s="741"/>
      <c r="AG43" s="332" t="s">
        <v>273</v>
      </c>
      <c r="AH43" s="334"/>
      <c r="AI43" s="334"/>
      <c r="AJ43" s="334">
        <f>SUM(AJ44:AJ45)</f>
        <v>0</v>
      </c>
      <c r="AK43" s="334">
        <f t="shared" ref="AK43:AL43" si="32">SUM(AK44:AK45)</f>
        <v>16</v>
      </c>
      <c r="AL43" s="334">
        <f t="shared" si="32"/>
        <v>13</v>
      </c>
      <c r="AM43" s="335">
        <f>SUM(AH43:AL43)</f>
        <v>29</v>
      </c>
      <c r="AP43" s="417" t="s">
        <v>343</v>
      </c>
      <c r="AQ43" s="422"/>
      <c r="AR43" s="337"/>
      <c r="AS43" s="337"/>
      <c r="AT43" s="337"/>
      <c r="AU43" s="365"/>
      <c r="AV43" s="365"/>
      <c r="AW43" s="432">
        <v>7</v>
      </c>
      <c r="AX43" s="433">
        <f t="shared" si="26"/>
        <v>7</v>
      </c>
      <c r="AY43" s="740"/>
    </row>
    <row r="44" spans="1:51" ht="16.5" thickTop="1" thickBot="1" x14ac:dyDescent="0.3">
      <c r="A44" s="111" t="s">
        <v>294</v>
      </c>
      <c r="B44" s="846"/>
      <c r="C44" s="846"/>
      <c r="D44" s="319"/>
      <c r="E44" s="319"/>
      <c r="F44" s="319"/>
      <c r="G44" s="319">
        <v>208</v>
      </c>
      <c r="H44" s="320">
        <v>302</v>
      </c>
      <c r="I44" s="321">
        <f>SUM(B44:H44)</f>
        <v>510</v>
      </c>
      <c r="J44" s="276">
        <f t="shared" si="25"/>
        <v>8.7334748955407906E-3</v>
      </c>
      <c r="K44" s="743"/>
      <c r="M44" s="331" t="s">
        <v>300</v>
      </c>
      <c r="N44" s="364"/>
      <c r="O44" s="365"/>
      <c r="P44" s="365"/>
      <c r="Q44" s="365"/>
      <c r="R44" s="365">
        <v>57</v>
      </c>
      <c r="S44" s="366">
        <v>64</v>
      </c>
      <c r="T44" s="363">
        <f t="shared" si="27"/>
        <v>121</v>
      </c>
      <c r="U44" s="740"/>
      <c r="W44" s="332" t="s">
        <v>378</v>
      </c>
      <c r="X44" s="334">
        <f t="shared" ref="X44:AD44" si="33">SUM(X24:X43)</f>
        <v>1</v>
      </c>
      <c r="Y44" s="334">
        <f t="shared" si="33"/>
        <v>0</v>
      </c>
      <c r="Z44" s="334">
        <f t="shared" si="33"/>
        <v>0</v>
      </c>
      <c r="AA44" s="334">
        <f t="shared" si="33"/>
        <v>53</v>
      </c>
      <c r="AB44" s="404">
        <f t="shared" si="33"/>
        <v>1323</v>
      </c>
      <c r="AC44" s="405">
        <f t="shared" si="33"/>
        <v>2697</v>
      </c>
      <c r="AD44" s="333">
        <f t="shared" si="33"/>
        <v>4074</v>
      </c>
      <c r="AG44" s="328" t="s">
        <v>312</v>
      </c>
      <c r="AH44" s="337"/>
      <c r="AI44" s="337"/>
      <c r="AJ44" s="337"/>
      <c r="AK44" s="337">
        <v>14</v>
      </c>
      <c r="AL44" s="337">
        <v>9</v>
      </c>
      <c r="AM44" s="338">
        <f>SUM(AH44:AL44)</f>
        <v>23</v>
      </c>
      <c r="AN44" s="747">
        <f>AM43/AM22</f>
        <v>2.8375733855185908E-2</v>
      </c>
      <c r="AP44" s="417" t="s">
        <v>328</v>
      </c>
      <c r="AQ44" s="422"/>
      <c r="AR44" s="337"/>
      <c r="AS44" s="337"/>
      <c r="AT44" s="337"/>
      <c r="AU44" s="365"/>
      <c r="AV44" s="365"/>
      <c r="AW44" s="432">
        <v>2</v>
      </c>
      <c r="AX44" s="433">
        <f t="shared" si="26"/>
        <v>2</v>
      </c>
      <c r="AY44" s="740"/>
    </row>
    <row r="45" spans="1:51" ht="16.5" thickTop="1" thickBot="1" x14ac:dyDescent="0.3">
      <c r="A45" s="111" t="s">
        <v>306</v>
      </c>
      <c r="B45" s="846"/>
      <c r="C45" s="846"/>
      <c r="D45" s="319"/>
      <c r="E45" s="319"/>
      <c r="F45" s="319">
        <v>10</v>
      </c>
      <c r="G45" s="319">
        <v>178</v>
      </c>
      <c r="H45" s="320">
        <v>223</v>
      </c>
      <c r="I45" s="321">
        <f>SUM(B45:H45)</f>
        <v>411</v>
      </c>
      <c r="J45" s="276">
        <f t="shared" si="25"/>
        <v>7.0381532981711077E-3</v>
      </c>
      <c r="K45" s="743"/>
      <c r="M45" s="331" t="s">
        <v>303</v>
      </c>
      <c r="N45" s="364"/>
      <c r="O45" s="365"/>
      <c r="P45" s="365"/>
      <c r="Q45" s="365"/>
      <c r="R45" s="365">
        <v>103</v>
      </c>
      <c r="S45" s="366">
        <v>8</v>
      </c>
      <c r="T45" s="363">
        <f t="shared" si="27"/>
        <v>111</v>
      </c>
      <c r="U45" s="740"/>
      <c r="AG45" s="328" t="s">
        <v>314</v>
      </c>
      <c r="AH45" s="337"/>
      <c r="AI45" s="337"/>
      <c r="AJ45" s="337"/>
      <c r="AK45" s="337">
        <v>2</v>
      </c>
      <c r="AL45" s="337">
        <v>4</v>
      </c>
      <c r="AM45" s="338">
        <f>SUM(AH45:AL45)</f>
        <v>6</v>
      </c>
      <c r="AN45" s="748"/>
      <c r="AP45" s="417" t="s">
        <v>272</v>
      </c>
      <c r="AQ45" s="422"/>
      <c r="AR45" s="337"/>
      <c r="AS45" s="337"/>
      <c r="AT45" s="337"/>
      <c r="AU45" s="365"/>
      <c r="AV45" s="365"/>
      <c r="AW45" s="432">
        <v>2</v>
      </c>
      <c r="AX45" s="433">
        <f t="shared" si="26"/>
        <v>2</v>
      </c>
      <c r="AY45" s="740"/>
    </row>
    <row r="46" spans="1:51" ht="16.5" thickTop="1" thickBot="1" x14ac:dyDescent="0.3">
      <c r="A46" s="111" t="s">
        <v>291</v>
      </c>
      <c r="B46" s="846"/>
      <c r="C46" s="846"/>
      <c r="D46" s="319"/>
      <c r="E46" s="319"/>
      <c r="F46" s="319"/>
      <c r="G46" s="319">
        <v>117</v>
      </c>
      <c r="H46" s="320">
        <v>259</v>
      </c>
      <c r="I46" s="321">
        <f>SUM(B46:H46)</f>
        <v>376</v>
      </c>
      <c r="J46" s="276">
        <f t="shared" si="25"/>
        <v>6.4387971778888968E-3</v>
      </c>
      <c r="K46" s="743"/>
      <c r="M46" s="331" t="s">
        <v>311</v>
      </c>
      <c r="N46" s="364"/>
      <c r="O46" s="365"/>
      <c r="P46" s="365"/>
      <c r="Q46" s="365"/>
      <c r="R46" s="365"/>
      <c r="S46" s="366">
        <v>108</v>
      </c>
      <c r="T46" s="363">
        <f t="shared" si="27"/>
        <v>108</v>
      </c>
      <c r="U46" s="740"/>
      <c r="AG46" s="332" t="s">
        <v>378</v>
      </c>
      <c r="AH46" s="334"/>
      <c r="AI46" s="334"/>
      <c r="AJ46" s="334">
        <f>AJ43+AJ39+AJ36+AJ33+AJ23</f>
        <v>69</v>
      </c>
      <c r="AK46" s="334">
        <f t="shared" ref="AK46:AL46" si="34">AK43+AK39+AK36+AK33+AK23</f>
        <v>290</v>
      </c>
      <c r="AL46" s="334">
        <f t="shared" si="34"/>
        <v>663</v>
      </c>
      <c r="AM46" s="335">
        <f>SUM(AH46:AL46)</f>
        <v>1022</v>
      </c>
      <c r="AP46" s="417" t="s">
        <v>264</v>
      </c>
      <c r="AQ46" s="422"/>
      <c r="AR46" s="337"/>
      <c r="AS46" s="337"/>
      <c r="AT46" s="337"/>
      <c r="AU46" s="365"/>
      <c r="AV46" s="365">
        <v>1</v>
      </c>
      <c r="AW46" s="432">
        <v>1</v>
      </c>
      <c r="AX46" s="433">
        <f t="shared" si="26"/>
        <v>2</v>
      </c>
      <c r="AY46" s="740"/>
    </row>
    <row r="47" spans="1:51" ht="15.75" thickTop="1" x14ac:dyDescent="0.25">
      <c r="A47" s="111" t="s">
        <v>279</v>
      </c>
      <c r="B47" s="846"/>
      <c r="C47" s="846"/>
      <c r="D47" s="319"/>
      <c r="E47" s="319"/>
      <c r="F47" s="319">
        <v>1</v>
      </c>
      <c r="G47" s="319">
        <v>45</v>
      </c>
      <c r="H47" s="320">
        <v>260</v>
      </c>
      <c r="I47" s="321">
        <f>SUM(B47:H47)</f>
        <v>306</v>
      </c>
      <c r="J47" s="276">
        <f t="shared" si="25"/>
        <v>5.240084937324474E-3</v>
      </c>
      <c r="K47" s="743"/>
      <c r="M47" s="331" t="s">
        <v>277</v>
      </c>
      <c r="N47" s="364"/>
      <c r="O47" s="365"/>
      <c r="P47" s="365"/>
      <c r="Q47" s="365"/>
      <c r="R47" s="365">
        <v>17</v>
      </c>
      <c r="S47" s="366">
        <v>82</v>
      </c>
      <c r="T47" s="363">
        <f t="shared" si="27"/>
        <v>99</v>
      </c>
      <c r="U47" s="740"/>
      <c r="AP47" s="417" t="s">
        <v>270</v>
      </c>
      <c r="AQ47" s="422"/>
      <c r="AR47" s="337"/>
      <c r="AS47" s="337"/>
      <c r="AT47" s="337"/>
      <c r="AU47" s="365"/>
      <c r="AV47" s="365"/>
      <c r="AW47" s="432">
        <v>2</v>
      </c>
      <c r="AX47" s="433">
        <f t="shared" si="26"/>
        <v>2</v>
      </c>
      <c r="AY47" s="740"/>
    </row>
    <row r="48" spans="1:51" ht="15" x14ac:dyDescent="0.25">
      <c r="A48" s="111" t="s">
        <v>319</v>
      </c>
      <c r="B48" s="846"/>
      <c r="C48" s="846"/>
      <c r="D48" s="319"/>
      <c r="E48" s="319"/>
      <c r="F48" s="319"/>
      <c r="G48" s="319">
        <v>111</v>
      </c>
      <c r="H48" s="320">
        <v>172</v>
      </c>
      <c r="I48" s="321">
        <f>SUM(B48:H48)</f>
        <v>283</v>
      </c>
      <c r="J48" s="276">
        <f t="shared" si="25"/>
        <v>4.8462223439961639E-3</v>
      </c>
      <c r="K48" s="743"/>
      <c r="M48" s="331" t="s">
        <v>325</v>
      </c>
      <c r="N48" s="364"/>
      <c r="O48" s="365"/>
      <c r="P48" s="365"/>
      <c r="Q48" s="365"/>
      <c r="R48" s="365">
        <v>21</v>
      </c>
      <c r="S48" s="366">
        <v>78</v>
      </c>
      <c r="T48" s="363">
        <f t="shared" si="27"/>
        <v>99</v>
      </c>
      <c r="U48" s="740"/>
      <c r="AP48" s="417" t="s">
        <v>276</v>
      </c>
      <c r="AQ48" s="422"/>
      <c r="AR48" s="337"/>
      <c r="AS48" s="337"/>
      <c r="AT48" s="337"/>
      <c r="AU48" s="365"/>
      <c r="AV48" s="365"/>
      <c r="AW48" s="432">
        <v>2</v>
      </c>
      <c r="AX48" s="433">
        <f t="shared" si="26"/>
        <v>2</v>
      </c>
      <c r="AY48" s="740"/>
    </row>
    <row r="49" spans="1:51" ht="15" x14ac:dyDescent="0.25">
      <c r="A49" s="111" t="s">
        <v>299</v>
      </c>
      <c r="B49" s="846"/>
      <c r="C49" s="846"/>
      <c r="D49" s="319"/>
      <c r="E49" s="319"/>
      <c r="F49" s="319"/>
      <c r="G49" s="319">
        <v>8</v>
      </c>
      <c r="H49" s="320">
        <v>275</v>
      </c>
      <c r="I49" s="321">
        <f>SUM(B49:H49)</f>
        <v>283</v>
      </c>
      <c r="J49" s="276">
        <f t="shared" si="25"/>
        <v>4.8462223439961639E-3</v>
      </c>
      <c r="K49" s="743"/>
      <c r="M49" s="331" t="s">
        <v>297</v>
      </c>
      <c r="N49" s="364"/>
      <c r="O49" s="365"/>
      <c r="P49" s="365"/>
      <c r="Q49" s="365"/>
      <c r="R49" s="365">
        <v>6</v>
      </c>
      <c r="S49" s="366">
        <v>55</v>
      </c>
      <c r="T49" s="363">
        <f t="shared" si="27"/>
        <v>61</v>
      </c>
      <c r="U49" s="740"/>
      <c r="AP49" s="417" t="s">
        <v>329</v>
      </c>
      <c r="AQ49" s="422"/>
      <c r="AR49" s="337"/>
      <c r="AS49" s="337"/>
      <c r="AT49" s="337"/>
      <c r="AU49" s="365"/>
      <c r="AV49" s="365"/>
      <c r="AW49" s="432">
        <v>1</v>
      </c>
      <c r="AX49" s="433">
        <f t="shared" si="26"/>
        <v>1</v>
      </c>
      <c r="AY49" s="740"/>
    </row>
    <row r="50" spans="1:51" ht="15" x14ac:dyDescent="0.25">
      <c r="A50" s="111" t="s">
        <v>325</v>
      </c>
      <c r="B50" s="846"/>
      <c r="C50" s="846"/>
      <c r="D50" s="319"/>
      <c r="E50" s="319"/>
      <c r="F50" s="319"/>
      <c r="G50" s="319">
        <v>35</v>
      </c>
      <c r="H50" s="320">
        <v>214</v>
      </c>
      <c r="I50" s="321">
        <f>SUM(B50:H50)</f>
        <v>249</v>
      </c>
      <c r="J50" s="276">
        <f t="shared" si="25"/>
        <v>4.2639906842934444E-3</v>
      </c>
      <c r="K50" s="743"/>
      <c r="M50" s="331" t="s">
        <v>318</v>
      </c>
      <c r="N50" s="364"/>
      <c r="O50" s="365"/>
      <c r="P50" s="365"/>
      <c r="Q50" s="365">
        <v>1</v>
      </c>
      <c r="R50" s="365">
        <v>39</v>
      </c>
      <c r="S50" s="366">
        <v>17</v>
      </c>
      <c r="T50" s="363">
        <f t="shared" si="27"/>
        <v>57</v>
      </c>
      <c r="U50" s="740"/>
      <c r="AP50" s="417" t="s">
        <v>263</v>
      </c>
      <c r="AQ50" s="422"/>
      <c r="AR50" s="337"/>
      <c r="AS50" s="337"/>
      <c r="AT50" s="337"/>
      <c r="AU50" s="365"/>
      <c r="AV50" s="365"/>
      <c r="AW50" s="432">
        <v>1</v>
      </c>
      <c r="AX50" s="433">
        <f t="shared" si="26"/>
        <v>1</v>
      </c>
      <c r="AY50" s="740"/>
    </row>
    <row r="51" spans="1:51" ht="15.75" thickBot="1" x14ac:dyDescent="0.3">
      <c r="A51" s="111" t="s">
        <v>287</v>
      </c>
      <c r="B51" s="846"/>
      <c r="C51" s="846"/>
      <c r="D51" s="319">
        <v>1</v>
      </c>
      <c r="E51" s="319"/>
      <c r="F51" s="319">
        <v>11</v>
      </c>
      <c r="G51" s="319">
        <v>82</v>
      </c>
      <c r="H51" s="320">
        <v>82</v>
      </c>
      <c r="I51" s="321">
        <f>SUM(B51:H51)</f>
        <v>176</v>
      </c>
      <c r="J51" s="276">
        <f t="shared" si="25"/>
        <v>3.0139050619905471E-3</v>
      </c>
      <c r="K51" s="743"/>
      <c r="M51" s="331" t="s">
        <v>292</v>
      </c>
      <c r="N51" s="364"/>
      <c r="O51" s="365"/>
      <c r="P51" s="365"/>
      <c r="Q51" s="365"/>
      <c r="R51" s="365">
        <v>6</v>
      </c>
      <c r="S51" s="366">
        <v>47</v>
      </c>
      <c r="T51" s="363">
        <f t="shared" si="27"/>
        <v>53</v>
      </c>
      <c r="U51" s="740"/>
      <c r="AP51" s="418" t="s">
        <v>268</v>
      </c>
      <c r="AQ51" s="423"/>
      <c r="AR51" s="340"/>
      <c r="AS51" s="340"/>
      <c r="AT51" s="340"/>
      <c r="AU51" s="368"/>
      <c r="AV51" s="368"/>
      <c r="AW51" s="434">
        <v>1</v>
      </c>
      <c r="AX51" s="435">
        <f t="shared" si="26"/>
        <v>1</v>
      </c>
      <c r="AY51" s="741"/>
    </row>
    <row r="52" spans="1:51" ht="16.5" thickTop="1" thickBot="1" x14ac:dyDescent="0.3">
      <c r="A52" s="111" t="s">
        <v>281</v>
      </c>
      <c r="B52" s="846"/>
      <c r="C52" s="846"/>
      <c r="D52" s="319"/>
      <c r="E52" s="319"/>
      <c r="F52" s="319">
        <v>2</v>
      </c>
      <c r="G52" s="319">
        <v>120</v>
      </c>
      <c r="H52" s="320">
        <v>31</v>
      </c>
      <c r="I52" s="321">
        <f>SUM(B52:H52)</f>
        <v>153</v>
      </c>
      <c r="J52" s="276">
        <f t="shared" si="25"/>
        <v>2.620042468662237E-3</v>
      </c>
      <c r="K52" s="743"/>
      <c r="M52" s="331" t="s">
        <v>287</v>
      </c>
      <c r="N52" s="364"/>
      <c r="O52" s="365"/>
      <c r="P52" s="365"/>
      <c r="Q52" s="365">
        <v>9</v>
      </c>
      <c r="R52" s="365">
        <v>13</v>
      </c>
      <c r="S52" s="366">
        <v>19</v>
      </c>
      <c r="T52" s="363">
        <f t="shared" si="27"/>
        <v>41</v>
      </c>
      <c r="U52" s="740"/>
      <c r="AP52" s="415" t="s">
        <v>377</v>
      </c>
      <c r="AQ52" s="420"/>
      <c r="AR52" s="342"/>
      <c r="AS52" s="342"/>
      <c r="AT52" s="342"/>
      <c r="AU52" s="436">
        <f>AU53</f>
        <v>33</v>
      </c>
      <c r="AV52" s="436">
        <f t="shared" ref="AV52:AW52" si="35">AV53</f>
        <v>529</v>
      </c>
      <c r="AW52" s="437">
        <f t="shared" si="35"/>
        <v>571</v>
      </c>
      <c r="AX52" s="438">
        <f t="shared" si="26"/>
        <v>1133</v>
      </c>
      <c r="AY52" s="455"/>
    </row>
    <row r="53" spans="1:51" ht="16.5" thickTop="1" thickBot="1" x14ac:dyDescent="0.3">
      <c r="A53" s="111" t="s">
        <v>297</v>
      </c>
      <c r="B53" s="846"/>
      <c r="C53" s="846"/>
      <c r="D53" s="319"/>
      <c r="E53" s="319"/>
      <c r="F53" s="319"/>
      <c r="G53" s="319">
        <v>7</v>
      </c>
      <c r="H53" s="320">
        <v>143</v>
      </c>
      <c r="I53" s="321">
        <f>SUM(B53:H53)</f>
        <v>150</v>
      </c>
      <c r="J53" s="276">
        <f t="shared" si="25"/>
        <v>2.568669086923762E-3</v>
      </c>
      <c r="K53" s="743"/>
      <c r="M53" s="331" t="s">
        <v>313</v>
      </c>
      <c r="N53" s="364"/>
      <c r="O53" s="365"/>
      <c r="P53" s="365"/>
      <c r="Q53" s="365"/>
      <c r="R53" s="365"/>
      <c r="S53" s="366">
        <v>36</v>
      </c>
      <c r="T53" s="363">
        <f t="shared" si="27"/>
        <v>36</v>
      </c>
      <c r="U53" s="740"/>
      <c r="AP53" s="331" t="s">
        <v>267</v>
      </c>
      <c r="AQ53" s="424"/>
      <c r="AR53" s="397"/>
      <c r="AS53" s="397"/>
      <c r="AT53" s="397"/>
      <c r="AU53" s="439">
        <v>33</v>
      </c>
      <c r="AV53" s="439">
        <v>529</v>
      </c>
      <c r="AW53" s="440">
        <v>571</v>
      </c>
      <c r="AX53" s="441">
        <f t="shared" si="26"/>
        <v>1133</v>
      </c>
      <c r="AY53" s="454">
        <f>AX52/AX22</f>
        <v>0.21229154955967772</v>
      </c>
    </row>
    <row r="54" spans="1:51" ht="16.5" thickTop="1" thickBot="1" x14ac:dyDescent="0.3">
      <c r="A54" s="111" t="s">
        <v>300</v>
      </c>
      <c r="B54" s="846"/>
      <c r="C54" s="846"/>
      <c r="D54" s="319"/>
      <c r="E54" s="319"/>
      <c r="F54" s="319"/>
      <c r="G54" s="319">
        <v>57</v>
      </c>
      <c r="H54" s="320">
        <v>70</v>
      </c>
      <c r="I54" s="321">
        <f>SUM(B54:H54)</f>
        <v>127</v>
      </c>
      <c r="J54" s="276">
        <f t="shared" si="25"/>
        <v>2.1748064935954519E-3</v>
      </c>
      <c r="K54" s="743"/>
      <c r="M54" s="331" t="s">
        <v>320</v>
      </c>
      <c r="N54" s="364"/>
      <c r="O54" s="365"/>
      <c r="P54" s="365"/>
      <c r="Q54" s="365"/>
      <c r="R54" s="365">
        <v>2</v>
      </c>
      <c r="S54" s="366">
        <v>28</v>
      </c>
      <c r="T54" s="363">
        <f t="shared" si="27"/>
        <v>30</v>
      </c>
      <c r="U54" s="740"/>
      <c r="AP54" s="415" t="s">
        <v>323</v>
      </c>
      <c r="AQ54" s="420"/>
      <c r="AR54" s="342"/>
      <c r="AS54" s="342"/>
      <c r="AT54" s="342"/>
      <c r="AU54" s="436">
        <f>SUM(AU55:AU57)</f>
        <v>0</v>
      </c>
      <c r="AV54" s="436">
        <f t="shared" ref="AV54:AW54" si="36">SUM(AV55:AV57)</f>
        <v>0</v>
      </c>
      <c r="AW54" s="437">
        <f t="shared" si="36"/>
        <v>981</v>
      </c>
      <c r="AX54" s="438">
        <f t="shared" si="26"/>
        <v>981</v>
      </c>
      <c r="AY54" s="455"/>
    </row>
    <row r="55" spans="1:51" ht="15.75" thickTop="1" x14ac:dyDescent="0.25">
      <c r="A55" s="111" t="s">
        <v>277</v>
      </c>
      <c r="B55" s="846"/>
      <c r="C55" s="846"/>
      <c r="D55" s="319"/>
      <c r="E55" s="319"/>
      <c r="F55" s="319"/>
      <c r="G55" s="319">
        <v>20</v>
      </c>
      <c r="H55" s="320">
        <v>93</v>
      </c>
      <c r="I55" s="321">
        <f>SUM(B55:H55)</f>
        <v>113</v>
      </c>
      <c r="J55" s="276">
        <f t="shared" si="25"/>
        <v>1.9350640454825674E-3</v>
      </c>
      <c r="K55" s="743"/>
      <c r="M55" s="331" t="s">
        <v>295</v>
      </c>
      <c r="N55" s="364"/>
      <c r="O55" s="365"/>
      <c r="P55" s="365"/>
      <c r="Q55" s="365"/>
      <c r="R55" s="365"/>
      <c r="S55" s="366">
        <v>29</v>
      </c>
      <c r="T55" s="363">
        <f t="shared" si="27"/>
        <v>29</v>
      </c>
      <c r="U55" s="740"/>
      <c r="AP55" s="791" t="s">
        <v>196</v>
      </c>
      <c r="AQ55" s="792"/>
      <c r="AR55" s="793"/>
      <c r="AS55" s="793"/>
      <c r="AT55" s="793"/>
      <c r="AU55" s="794"/>
      <c r="AV55" s="794"/>
      <c r="AW55" s="795">
        <v>960</v>
      </c>
      <c r="AX55" s="796">
        <f t="shared" si="26"/>
        <v>960</v>
      </c>
      <c r="AY55" s="797">
        <f>AX54/AX22</f>
        <v>0.18381112984822934</v>
      </c>
    </row>
    <row r="56" spans="1:51" ht="15" x14ac:dyDescent="0.25">
      <c r="A56" s="111" t="s">
        <v>292</v>
      </c>
      <c r="B56" s="846"/>
      <c r="C56" s="846"/>
      <c r="D56" s="319"/>
      <c r="E56" s="319"/>
      <c r="F56" s="319"/>
      <c r="G56" s="319">
        <v>13</v>
      </c>
      <c r="H56" s="320">
        <v>88</v>
      </c>
      <c r="I56" s="321">
        <f>SUM(B56:H56)</f>
        <v>101</v>
      </c>
      <c r="J56" s="276">
        <f t="shared" si="25"/>
        <v>1.7295705185286663E-3</v>
      </c>
      <c r="K56" s="743"/>
      <c r="M56" s="331" t="s">
        <v>301</v>
      </c>
      <c r="N56" s="364"/>
      <c r="O56" s="365"/>
      <c r="P56" s="365"/>
      <c r="Q56" s="365"/>
      <c r="R56" s="365">
        <v>3</v>
      </c>
      <c r="S56" s="366">
        <v>25</v>
      </c>
      <c r="T56" s="363">
        <f t="shared" si="27"/>
        <v>28</v>
      </c>
      <c r="U56" s="740"/>
      <c r="AP56" s="328" t="s">
        <v>197</v>
      </c>
      <c r="AQ56" s="647"/>
      <c r="AR56" s="397"/>
      <c r="AS56" s="397"/>
      <c r="AT56" s="397"/>
      <c r="AU56" s="397"/>
      <c r="AV56" s="397"/>
      <c r="AW56" s="480">
        <v>12</v>
      </c>
      <c r="AX56" s="331">
        <f t="shared" si="26"/>
        <v>12</v>
      </c>
      <c r="AY56" s="798"/>
    </row>
    <row r="57" spans="1:51" ht="15.75" thickBot="1" x14ac:dyDescent="0.3">
      <c r="A57" s="111" t="s">
        <v>304</v>
      </c>
      <c r="B57" s="846"/>
      <c r="C57" s="846"/>
      <c r="D57" s="319"/>
      <c r="E57" s="319"/>
      <c r="F57" s="319"/>
      <c r="G57" s="319">
        <v>14</v>
      </c>
      <c r="H57" s="320">
        <v>78</v>
      </c>
      <c r="I57" s="321">
        <f>SUM(B57:H57)</f>
        <v>92</v>
      </c>
      <c r="J57" s="276">
        <f t="shared" si="25"/>
        <v>1.5754503733132407E-3</v>
      </c>
      <c r="K57" s="743"/>
      <c r="M57" s="331" t="s">
        <v>293</v>
      </c>
      <c r="N57" s="364"/>
      <c r="O57" s="365"/>
      <c r="P57" s="365"/>
      <c r="Q57" s="365"/>
      <c r="R57" s="365">
        <v>23</v>
      </c>
      <c r="S57" s="366">
        <v>4</v>
      </c>
      <c r="T57" s="363">
        <f t="shared" si="27"/>
        <v>27</v>
      </c>
      <c r="U57" s="740"/>
      <c r="AP57" s="799" t="s">
        <v>199</v>
      </c>
      <c r="AQ57" s="800"/>
      <c r="AR57" s="801"/>
      <c r="AS57" s="801"/>
      <c r="AT57" s="801"/>
      <c r="AU57" s="801"/>
      <c r="AV57" s="801"/>
      <c r="AW57" s="802">
        <v>9</v>
      </c>
      <c r="AX57" s="803">
        <f t="shared" si="26"/>
        <v>9</v>
      </c>
      <c r="AY57" s="804"/>
    </row>
    <row r="58" spans="1:51" ht="16.5" thickTop="1" thickBot="1" x14ac:dyDescent="0.3">
      <c r="A58" s="111" t="s">
        <v>293</v>
      </c>
      <c r="B58" s="846"/>
      <c r="C58" s="846"/>
      <c r="D58" s="319"/>
      <c r="E58" s="319"/>
      <c r="F58" s="319"/>
      <c r="G58" s="319">
        <v>71</v>
      </c>
      <c r="H58" s="320">
        <v>21</v>
      </c>
      <c r="I58" s="321">
        <f>SUM(B58:H58)</f>
        <v>92</v>
      </c>
      <c r="J58" s="276">
        <f t="shared" si="25"/>
        <v>1.5754503733132407E-3</v>
      </c>
      <c r="K58" s="743"/>
      <c r="M58" s="331" t="s">
        <v>307</v>
      </c>
      <c r="N58" s="364"/>
      <c r="O58" s="365"/>
      <c r="P58" s="365"/>
      <c r="Q58" s="365"/>
      <c r="R58" s="365">
        <v>1</v>
      </c>
      <c r="S58" s="366">
        <v>25</v>
      </c>
      <c r="T58" s="363">
        <f t="shared" si="27"/>
        <v>26</v>
      </c>
      <c r="U58" s="740"/>
      <c r="AP58" s="805" t="s">
        <v>314</v>
      </c>
      <c r="AQ58" s="806"/>
      <c r="AR58" s="807"/>
      <c r="AS58" s="807"/>
      <c r="AT58" s="807"/>
      <c r="AU58" s="808">
        <f>SUM(AU59:AU81)</f>
        <v>28</v>
      </c>
      <c r="AV58" s="808">
        <f t="shared" ref="AV58:AW58" si="37">SUM(AV59:AV81)</f>
        <v>350</v>
      </c>
      <c r="AW58" s="809">
        <f t="shared" si="37"/>
        <v>194</v>
      </c>
      <c r="AX58" s="810">
        <f t="shared" ref="AX58:AX106" si="38">SUM(AQ58:AW58)</f>
        <v>572</v>
      </c>
      <c r="AY58" s="455"/>
    </row>
    <row r="59" spans="1:51" ht="15.75" thickTop="1" x14ac:dyDescent="0.25">
      <c r="A59" s="111" t="s">
        <v>290</v>
      </c>
      <c r="B59" s="846"/>
      <c r="C59" s="846"/>
      <c r="D59" s="319"/>
      <c r="E59" s="319"/>
      <c r="F59" s="319"/>
      <c r="G59" s="319"/>
      <c r="H59" s="320">
        <v>66</v>
      </c>
      <c r="I59" s="321">
        <f>SUM(B59:H59)</f>
        <v>66</v>
      </c>
      <c r="J59" s="276">
        <f t="shared" si="25"/>
        <v>1.1302143982464552E-3</v>
      </c>
      <c r="K59" s="743"/>
      <c r="M59" s="331" t="s">
        <v>299</v>
      </c>
      <c r="N59" s="364"/>
      <c r="O59" s="365"/>
      <c r="P59" s="365"/>
      <c r="Q59" s="365"/>
      <c r="R59" s="365">
        <v>3</v>
      </c>
      <c r="S59" s="366">
        <v>12</v>
      </c>
      <c r="T59" s="363">
        <f t="shared" si="27"/>
        <v>15</v>
      </c>
      <c r="U59" s="740"/>
      <c r="AP59" s="416" t="s">
        <v>198</v>
      </c>
      <c r="AQ59" s="421"/>
      <c r="AR59" s="414"/>
      <c r="AS59" s="414"/>
      <c r="AT59" s="414"/>
      <c r="AU59" s="361"/>
      <c r="AV59" s="361">
        <v>60</v>
      </c>
      <c r="AW59" s="430">
        <v>35</v>
      </c>
      <c r="AX59" s="431">
        <f t="shared" si="38"/>
        <v>95</v>
      </c>
      <c r="AY59" s="739">
        <f>AX58/AX22</f>
        <v>0.10717631628255574</v>
      </c>
    </row>
    <row r="60" spans="1:51" ht="15" x14ac:dyDescent="0.25">
      <c r="A60" s="111" t="s">
        <v>295</v>
      </c>
      <c r="B60" s="846"/>
      <c r="C60" s="846"/>
      <c r="D60" s="319"/>
      <c r="E60" s="319"/>
      <c r="F60" s="319"/>
      <c r="G60" s="319">
        <v>6</v>
      </c>
      <c r="H60" s="320">
        <v>54</v>
      </c>
      <c r="I60" s="321">
        <f>SUM(B60:H60)</f>
        <v>60</v>
      </c>
      <c r="J60" s="276">
        <f t="shared" si="25"/>
        <v>1.0274676347695048E-3</v>
      </c>
      <c r="K60" s="743"/>
      <c r="M60" s="331" t="s">
        <v>290</v>
      </c>
      <c r="N60" s="364"/>
      <c r="O60" s="365"/>
      <c r="P60" s="365"/>
      <c r="Q60" s="365"/>
      <c r="R60" s="365"/>
      <c r="S60" s="366">
        <v>11</v>
      </c>
      <c r="T60" s="363">
        <f t="shared" si="27"/>
        <v>11</v>
      </c>
      <c r="U60" s="740"/>
      <c r="AP60" s="417" t="s">
        <v>201</v>
      </c>
      <c r="AQ60" s="422"/>
      <c r="AR60" s="337"/>
      <c r="AS60" s="337"/>
      <c r="AT60" s="337"/>
      <c r="AU60" s="365"/>
      <c r="AV60" s="365">
        <v>67</v>
      </c>
      <c r="AW60" s="432">
        <v>25</v>
      </c>
      <c r="AX60" s="433">
        <f t="shared" si="38"/>
        <v>92</v>
      </c>
      <c r="AY60" s="740"/>
    </row>
    <row r="61" spans="1:51" ht="15" x14ac:dyDescent="0.25">
      <c r="A61" s="111" t="s">
        <v>318</v>
      </c>
      <c r="B61" s="846"/>
      <c r="C61" s="846"/>
      <c r="D61" s="319"/>
      <c r="E61" s="319"/>
      <c r="F61" s="319">
        <v>1</v>
      </c>
      <c r="G61" s="319">
        <v>39</v>
      </c>
      <c r="H61" s="320">
        <v>17</v>
      </c>
      <c r="I61" s="321">
        <f>SUM(B61:H61)</f>
        <v>57</v>
      </c>
      <c r="J61" s="276">
        <f t="shared" si="25"/>
        <v>9.7609425303102956E-4</v>
      </c>
      <c r="K61" s="743"/>
      <c r="M61" s="331" t="s">
        <v>281</v>
      </c>
      <c r="N61" s="364"/>
      <c r="O61" s="365"/>
      <c r="P61" s="365"/>
      <c r="Q61" s="365"/>
      <c r="R61" s="365">
        <v>8</v>
      </c>
      <c r="S61" s="366">
        <v>1</v>
      </c>
      <c r="T61" s="363">
        <f t="shared" si="27"/>
        <v>9</v>
      </c>
      <c r="U61" s="740"/>
      <c r="AP61" s="417" t="s">
        <v>264</v>
      </c>
      <c r="AQ61" s="422"/>
      <c r="AR61" s="337"/>
      <c r="AS61" s="337"/>
      <c r="AT61" s="337"/>
      <c r="AU61" s="365">
        <v>2</v>
      </c>
      <c r="AV61" s="365">
        <v>59</v>
      </c>
      <c r="AW61" s="432">
        <v>11</v>
      </c>
      <c r="AX61" s="433">
        <f t="shared" si="38"/>
        <v>72</v>
      </c>
      <c r="AY61" s="740"/>
    </row>
    <row r="62" spans="1:51" ht="15" x14ac:dyDescent="0.25">
      <c r="A62" s="111" t="s">
        <v>307</v>
      </c>
      <c r="B62" s="846"/>
      <c r="C62" s="846"/>
      <c r="D62" s="319"/>
      <c r="E62" s="319"/>
      <c r="F62" s="319">
        <v>1</v>
      </c>
      <c r="G62" s="319">
        <v>2</v>
      </c>
      <c r="H62" s="320">
        <v>50</v>
      </c>
      <c r="I62" s="321">
        <f>SUM(B62:H62)</f>
        <v>53</v>
      </c>
      <c r="J62" s="276">
        <f t="shared" si="25"/>
        <v>9.0759641071306251E-4</v>
      </c>
      <c r="K62" s="743"/>
      <c r="M62" s="331" t="s">
        <v>304</v>
      </c>
      <c r="N62" s="364"/>
      <c r="O62" s="365"/>
      <c r="P62" s="365"/>
      <c r="Q62" s="365"/>
      <c r="R62" s="365">
        <v>4</v>
      </c>
      <c r="S62" s="366">
        <v>1</v>
      </c>
      <c r="T62" s="363">
        <f t="shared" si="27"/>
        <v>5</v>
      </c>
      <c r="U62" s="740"/>
      <c r="AP62" s="417" t="s">
        <v>263</v>
      </c>
      <c r="AQ62" s="422"/>
      <c r="AR62" s="337"/>
      <c r="AS62" s="337"/>
      <c r="AT62" s="337"/>
      <c r="AU62" s="365">
        <v>2</v>
      </c>
      <c r="AV62" s="365">
        <v>34</v>
      </c>
      <c r="AW62" s="432">
        <v>14</v>
      </c>
      <c r="AX62" s="433">
        <f t="shared" si="38"/>
        <v>50</v>
      </c>
      <c r="AY62" s="740"/>
    </row>
    <row r="63" spans="1:51" ht="15.75" thickBot="1" x14ac:dyDescent="0.3">
      <c r="A63" s="111" t="s">
        <v>320</v>
      </c>
      <c r="B63" s="846"/>
      <c r="C63" s="846"/>
      <c r="D63" s="319"/>
      <c r="E63" s="319"/>
      <c r="F63" s="319"/>
      <c r="G63" s="319">
        <v>2</v>
      </c>
      <c r="H63" s="320">
        <v>47</v>
      </c>
      <c r="I63" s="321">
        <f>SUM(B63:H63)</f>
        <v>49</v>
      </c>
      <c r="J63" s="276">
        <f t="shared" si="25"/>
        <v>8.3909856839509557E-4</v>
      </c>
      <c r="K63" s="743"/>
      <c r="M63" s="331" t="s">
        <v>286</v>
      </c>
      <c r="N63" s="367"/>
      <c r="O63" s="368"/>
      <c r="P63" s="368"/>
      <c r="Q63" s="368"/>
      <c r="R63" s="368"/>
      <c r="S63" s="369">
        <v>2</v>
      </c>
      <c r="T63" s="363">
        <f t="shared" si="27"/>
        <v>2</v>
      </c>
      <c r="U63" s="741"/>
      <c r="AP63" s="417" t="s">
        <v>266</v>
      </c>
      <c r="AQ63" s="422"/>
      <c r="AR63" s="337"/>
      <c r="AS63" s="337"/>
      <c r="AT63" s="337"/>
      <c r="AU63" s="365">
        <v>3</v>
      </c>
      <c r="AV63" s="365">
        <v>26</v>
      </c>
      <c r="AW63" s="432">
        <v>17</v>
      </c>
      <c r="AX63" s="433">
        <f t="shared" si="38"/>
        <v>46</v>
      </c>
      <c r="AY63" s="740"/>
    </row>
    <row r="64" spans="1:51" ht="16.5" thickTop="1" thickBot="1" x14ac:dyDescent="0.3">
      <c r="A64" s="111" t="s">
        <v>313</v>
      </c>
      <c r="B64" s="846"/>
      <c r="C64" s="846"/>
      <c r="D64" s="319"/>
      <c r="E64" s="319"/>
      <c r="F64" s="319"/>
      <c r="G64" s="319"/>
      <c r="H64" s="320">
        <v>36</v>
      </c>
      <c r="I64" s="321">
        <f>SUM(B64:H64)</f>
        <v>36</v>
      </c>
      <c r="J64" s="276">
        <f t="shared" si="25"/>
        <v>6.164805808617029E-4</v>
      </c>
      <c r="K64" s="743"/>
      <c r="M64" s="343" t="s">
        <v>212</v>
      </c>
      <c r="N64" s="370">
        <f>SUM(N65:N95)</f>
        <v>0</v>
      </c>
      <c r="O64" s="371">
        <f t="shared" ref="O64:S64" si="39">SUM(O65:O95)</f>
        <v>0</v>
      </c>
      <c r="P64" s="371">
        <f t="shared" si="39"/>
        <v>0</v>
      </c>
      <c r="Q64" s="371">
        <f t="shared" si="39"/>
        <v>306</v>
      </c>
      <c r="R64" s="371">
        <f t="shared" si="39"/>
        <v>6997</v>
      </c>
      <c r="S64" s="372">
        <f t="shared" si="39"/>
        <v>10943</v>
      </c>
      <c r="T64" s="373">
        <f>SUM(T65:T95)</f>
        <v>18246</v>
      </c>
      <c r="AP64" s="417" t="s">
        <v>196</v>
      </c>
      <c r="AQ64" s="422"/>
      <c r="AR64" s="337"/>
      <c r="AS64" s="337"/>
      <c r="AT64" s="337"/>
      <c r="AU64" s="365">
        <v>5</v>
      </c>
      <c r="AV64" s="365">
        <v>12</v>
      </c>
      <c r="AW64" s="432">
        <v>25</v>
      </c>
      <c r="AX64" s="433">
        <f t="shared" si="38"/>
        <v>42</v>
      </c>
      <c r="AY64" s="740"/>
    </row>
    <row r="65" spans="1:51" ht="15.75" thickTop="1" x14ac:dyDescent="0.25">
      <c r="A65" s="111" t="s">
        <v>283</v>
      </c>
      <c r="B65" s="846"/>
      <c r="C65" s="846"/>
      <c r="D65" s="319"/>
      <c r="E65" s="319"/>
      <c r="F65" s="319"/>
      <c r="G65" s="319">
        <v>11</v>
      </c>
      <c r="H65" s="320">
        <v>24</v>
      </c>
      <c r="I65" s="321">
        <f>SUM(B65:H65)</f>
        <v>35</v>
      </c>
      <c r="J65" s="276">
        <f t="shared" si="25"/>
        <v>5.9935612028221106E-4</v>
      </c>
      <c r="K65" s="743"/>
      <c r="M65" s="331" t="s">
        <v>314</v>
      </c>
      <c r="N65" s="374"/>
      <c r="O65" s="375"/>
      <c r="P65" s="375"/>
      <c r="Q65" s="375">
        <v>54</v>
      </c>
      <c r="R65" s="375">
        <v>1464</v>
      </c>
      <c r="S65" s="376">
        <v>1813</v>
      </c>
      <c r="T65" s="363">
        <f t="shared" si="27"/>
        <v>3331</v>
      </c>
      <c r="U65" s="739">
        <f>T64/T22</f>
        <v>0.31245290773340639</v>
      </c>
      <c r="AP65" s="417" t="s">
        <v>202</v>
      </c>
      <c r="AQ65" s="422"/>
      <c r="AR65" s="337"/>
      <c r="AS65" s="337"/>
      <c r="AT65" s="337"/>
      <c r="AU65" s="365">
        <v>6</v>
      </c>
      <c r="AV65" s="365">
        <v>16</v>
      </c>
      <c r="AW65" s="432">
        <v>7</v>
      </c>
      <c r="AX65" s="433">
        <f t="shared" si="38"/>
        <v>29</v>
      </c>
      <c r="AY65" s="740"/>
    </row>
    <row r="66" spans="1:51" ht="15" x14ac:dyDescent="0.25">
      <c r="A66" s="111" t="s">
        <v>376</v>
      </c>
      <c r="B66" s="846"/>
      <c r="C66" s="846"/>
      <c r="D66" s="319"/>
      <c r="E66" s="319"/>
      <c r="F66" s="319"/>
      <c r="G66" s="319"/>
      <c r="H66" s="320">
        <v>34</v>
      </c>
      <c r="I66" s="321">
        <f>SUM(B66:H66)</f>
        <v>34</v>
      </c>
      <c r="J66" s="276">
        <f t="shared" si="25"/>
        <v>5.8223165970271932E-4</v>
      </c>
      <c r="K66" s="743"/>
      <c r="M66" s="331" t="s">
        <v>321</v>
      </c>
      <c r="N66" s="364"/>
      <c r="O66" s="365"/>
      <c r="P66" s="365"/>
      <c r="Q66" s="365">
        <v>106</v>
      </c>
      <c r="R66" s="365">
        <v>1217</v>
      </c>
      <c r="S66" s="366">
        <v>1637</v>
      </c>
      <c r="T66" s="363">
        <f t="shared" si="27"/>
        <v>2960</v>
      </c>
      <c r="U66" s="740"/>
      <c r="AP66" s="417" t="s">
        <v>209</v>
      </c>
      <c r="AQ66" s="422"/>
      <c r="AR66" s="337"/>
      <c r="AS66" s="337"/>
      <c r="AT66" s="337"/>
      <c r="AU66" s="365">
        <v>6</v>
      </c>
      <c r="AV66" s="365">
        <v>19</v>
      </c>
      <c r="AW66" s="432">
        <v>3</v>
      </c>
      <c r="AX66" s="433">
        <f t="shared" si="38"/>
        <v>28</v>
      </c>
      <c r="AY66" s="740"/>
    </row>
    <row r="67" spans="1:51" ht="15" x14ac:dyDescent="0.25">
      <c r="A67" s="111" t="s">
        <v>301</v>
      </c>
      <c r="B67" s="846"/>
      <c r="C67" s="846"/>
      <c r="D67" s="319"/>
      <c r="E67" s="319"/>
      <c r="F67" s="319"/>
      <c r="G67" s="319">
        <v>4</v>
      </c>
      <c r="H67" s="320">
        <v>26</v>
      </c>
      <c r="I67" s="321">
        <f>SUM(B67:H67)</f>
        <v>30</v>
      </c>
      <c r="J67" s="276">
        <f t="shared" si="25"/>
        <v>5.1373381738475238E-4</v>
      </c>
      <c r="K67" s="743"/>
      <c r="M67" s="331" t="s">
        <v>312</v>
      </c>
      <c r="N67" s="364"/>
      <c r="O67" s="365"/>
      <c r="P67" s="365"/>
      <c r="Q67" s="365">
        <v>13</v>
      </c>
      <c r="R67" s="365">
        <v>879</v>
      </c>
      <c r="S67" s="366">
        <v>1208</v>
      </c>
      <c r="T67" s="363">
        <f t="shared" si="27"/>
        <v>2100</v>
      </c>
      <c r="U67" s="740"/>
      <c r="AP67" s="417" t="s">
        <v>200</v>
      </c>
      <c r="AQ67" s="422"/>
      <c r="AR67" s="337"/>
      <c r="AS67" s="337"/>
      <c r="AT67" s="337"/>
      <c r="AU67" s="365"/>
      <c r="AV67" s="365">
        <v>7</v>
      </c>
      <c r="AW67" s="432">
        <v>13</v>
      </c>
      <c r="AX67" s="433">
        <f t="shared" si="38"/>
        <v>20</v>
      </c>
      <c r="AY67" s="740"/>
    </row>
    <row r="68" spans="1:51" ht="15" x14ac:dyDescent="0.25">
      <c r="A68" s="111" t="s">
        <v>302</v>
      </c>
      <c r="B68" s="846"/>
      <c r="C68" s="846"/>
      <c r="D68" s="319"/>
      <c r="E68" s="319"/>
      <c r="F68" s="319"/>
      <c r="G68" s="319"/>
      <c r="H68" s="320">
        <v>16</v>
      </c>
      <c r="I68" s="321">
        <f>SUM(B68:H68)</f>
        <v>16</v>
      </c>
      <c r="J68" s="276">
        <f t="shared" si="25"/>
        <v>2.7399136927186793E-4</v>
      </c>
      <c r="K68" s="743"/>
      <c r="M68" s="331" t="s">
        <v>284</v>
      </c>
      <c r="N68" s="364"/>
      <c r="O68" s="365"/>
      <c r="P68" s="365"/>
      <c r="Q68" s="365">
        <v>30</v>
      </c>
      <c r="R68" s="365">
        <v>918</v>
      </c>
      <c r="S68" s="366">
        <v>1018</v>
      </c>
      <c r="T68" s="363">
        <f t="shared" si="27"/>
        <v>1966</v>
      </c>
      <c r="U68" s="740"/>
      <c r="AP68" s="417" t="s">
        <v>197</v>
      </c>
      <c r="AQ68" s="422"/>
      <c r="AR68" s="337"/>
      <c r="AS68" s="337"/>
      <c r="AT68" s="337"/>
      <c r="AU68" s="365"/>
      <c r="AV68" s="365">
        <v>5</v>
      </c>
      <c r="AW68" s="432">
        <v>13</v>
      </c>
      <c r="AX68" s="433">
        <f t="shared" si="38"/>
        <v>18</v>
      </c>
      <c r="AY68" s="740"/>
    </row>
    <row r="69" spans="1:51" ht="15" x14ac:dyDescent="0.25">
      <c r="A69" s="111" t="s">
        <v>288</v>
      </c>
      <c r="B69" s="846"/>
      <c r="C69" s="846"/>
      <c r="D69" s="319"/>
      <c r="E69" s="319"/>
      <c r="F69" s="319"/>
      <c r="G69" s="319">
        <v>2</v>
      </c>
      <c r="H69" s="320">
        <v>6</v>
      </c>
      <c r="I69" s="321">
        <f>SUM(B69:H69)</f>
        <v>8</v>
      </c>
      <c r="J69" s="276">
        <f t="shared" si="25"/>
        <v>1.3699568463593396E-4</v>
      </c>
      <c r="K69" s="743"/>
      <c r="M69" s="331" t="s">
        <v>305</v>
      </c>
      <c r="N69" s="364"/>
      <c r="O69" s="365"/>
      <c r="P69" s="365"/>
      <c r="Q69" s="365">
        <v>9</v>
      </c>
      <c r="R69" s="365">
        <v>433</v>
      </c>
      <c r="S69" s="366">
        <v>1089</v>
      </c>
      <c r="T69" s="363">
        <f t="shared" si="27"/>
        <v>1531</v>
      </c>
      <c r="U69" s="740"/>
      <c r="AP69" s="417" t="s">
        <v>267</v>
      </c>
      <c r="AQ69" s="422"/>
      <c r="AR69" s="337"/>
      <c r="AS69" s="337"/>
      <c r="AT69" s="337"/>
      <c r="AU69" s="365"/>
      <c r="AV69" s="365">
        <v>16</v>
      </c>
      <c r="AW69" s="432">
        <v>1</v>
      </c>
      <c r="AX69" s="433">
        <f t="shared" si="38"/>
        <v>17</v>
      </c>
      <c r="AY69" s="740"/>
    </row>
    <row r="70" spans="1:51" ht="15" x14ac:dyDescent="0.25">
      <c r="A70" s="111" t="s">
        <v>286</v>
      </c>
      <c r="B70" s="846"/>
      <c r="C70" s="846"/>
      <c r="D70" s="319"/>
      <c r="E70" s="319"/>
      <c r="F70" s="319"/>
      <c r="G70" s="319">
        <v>2</v>
      </c>
      <c r="H70" s="320">
        <v>4</v>
      </c>
      <c r="I70" s="321">
        <f>SUM(B70:H70)</f>
        <v>6</v>
      </c>
      <c r="J70" s="276">
        <f t="shared" si="25"/>
        <v>1.0274676347695048E-4</v>
      </c>
      <c r="K70" s="743"/>
      <c r="M70" s="331" t="s">
        <v>289</v>
      </c>
      <c r="N70" s="364"/>
      <c r="O70" s="365"/>
      <c r="P70" s="365"/>
      <c r="Q70" s="365">
        <v>8</v>
      </c>
      <c r="R70" s="365">
        <v>510</v>
      </c>
      <c r="S70" s="366">
        <v>630</v>
      </c>
      <c r="T70" s="363">
        <f t="shared" si="27"/>
        <v>1148</v>
      </c>
      <c r="U70" s="740"/>
      <c r="AP70" s="417" t="s">
        <v>270</v>
      </c>
      <c r="AQ70" s="422"/>
      <c r="AR70" s="337"/>
      <c r="AS70" s="337"/>
      <c r="AT70" s="337"/>
      <c r="AU70" s="365"/>
      <c r="AV70" s="365">
        <v>10</v>
      </c>
      <c r="AW70" s="432">
        <v>5</v>
      </c>
      <c r="AX70" s="433">
        <f t="shared" si="38"/>
        <v>15</v>
      </c>
      <c r="AY70" s="740"/>
    </row>
    <row r="71" spans="1:51" ht="15" x14ac:dyDescent="0.25">
      <c r="A71" s="111" t="s">
        <v>282</v>
      </c>
      <c r="B71" s="846"/>
      <c r="C71" s="846"/>
      <c r="D71" s="319"/>
      <c r="E71" s="319"/>
      <c r="F71" s="319"/>
      <c r="G71" s="319">
        <v>1</v>
      </c>
      <c r="H71" s="320">
        <v>1</v>
      </c>
      <c r="I71" s="321">
        <f>SUM(B71:H71)</f>
        <v>2</v>
      </c>
      <c r="J71" s="276">
        <f t="shared" si="25"/>
        <v>3.4248921158983491E-5</v>
      </c>
      <c r="K71" s="743"/>
      <c r="M71" s="331" t="s">
        <v>324</v>
      </c>
      <c r="N71" s="364"/>
      <c r="O71" s="365"/>
      <c r="P71" s="365"/>
      <c r="Q71" s="365">
        <v>6</v>
      </c>
      <c r="R71" s="365">
        <v>345</v>
      </c>
      <c r="S71" s="366">
        <v>552</v>
      </c>
      <c r="T71" s="363">
        <f t="shared" si="27"/>
        <v>903</v>
      </c>
      <c r="U71" s="740"/>
      <c r="AP71" s="417" t="s">
        <v>206</v>
      </c>
      <c r="AQ71" s="422"/>
      <c r="AR71" s="337"/>
      <c r="AS71" s="337"/>
      <c r="AT71" s="337"/>
      <c r="AU71" s="365">
        <v>1</v>
      </c>
      <c r="AV71" s="365">
        <v>3</v>
      </c>
      <c r="AW71" s="432">
        <v>8</v>
      </c>
      <c r="AX71" s="433">
        <f t="shared" si="38"/>
        <v>12</v>
      </c>
      <c r="AY71" s="740"/>
    </row>
    <row r="72" spans="1:51" ht="15.75" thickBot="1" x14ac:dyDescent="0.3">
      <c r="A72" s="826"/>
      <c r="B72" s="847"/>
      <c r="C72" s="847"/>
      <c r="D72" s="833"/>
      <c r="E72" s="833"/>
      <c r="F72" s="833"/>
      <c r="G72" s="833"/>
      <c r="H72" s="834"/>
      <c r="I72" s="835">
        <f>SUM(B72:H72)</f>
        <v>0</v>
      </c>
      <c r="J72" s="836">
        <f t="shared" si="25"/>
        <v>0</v>
      </c>
      <c r="K72" s="750"/>
      <c r="M72" s="331" t="s">
        <v>322</v>
      </c>
      <c r="N72" s="364"/>
      <c r="O72" s="365"/>
      <c r="P72" s="365"/>
      <c r="Q72" s="365">
        <v>61</v>
      </c>
      <c r="R72" s="365">
        <v>284</v>
      </c>
      <c r="S72" s="366">
        <v>471</v>
      </c>
      <c r="T72" s="363">
        <f t="shared" si="27"/>
        <v>816</v>
      </c>
      <c r="U72" s="740"/>
      <c r="AP72" s="417" t="s">
        <v>205</v>
      </c>
      <c r="AQ72" s="422"/>
      <c r="AR72" s="337"/>
      <c r="AS72" s="337"/>
      <c r="AT72" s="337"/>
      <c r="AU72" s="365"/>
      <c r="AV72" s="365">
        <v>7</v>
      </c>
      <c r="AW72" s="432">
        <v>1</v>
      </c>
      <c r="AX72" s="433">
        <f t="shared" si="38"/>
        <v>8</v>
      </c>
      <c r="AY72" s="740"/>
    </row>
    <row r="73" spans="1:51" ht="20.25" thickTop="1" thickBot="1" x14ac:dyDescent="0.35">
      <c r="A73" s="830" t="s">
        <v>213</v>
      </c>
      <c r="B73" s="831">
        <f t="shared" ref="B73:E73" si="40">SUM(B74:B82)</f>
        <v>0</v>
      </c>
      <c r="C73" s="831">
        <f t="shared" si="40"/>
        <v>0</v>
      </c>
      <c r="D73" s="831">
        <f t="shared" si="40"/>
        <v>0</v>
      </c>
      <c r="E73" s="831">
        <f t="shared" si="40"/>
        <v>0</v>
      </c>
      <c r="F73" s="831">
        <f>SUM(F74:F82)</f>
        <v>103</v>
      </c>
      <c r="G73" s="831">
        <f t="shared" ref="G73:H73" si="41">SUM(G74:G82)</f>
        <v>1639</v>
      </c>
      <c r="H73" s="831">
        <f t="shared" si="41"/>
        <v>3595</v>
      </c>
      <c r="I73" s="832">
        <f>SUM(I74:I82)</f>
        <v>5337</v>
      </c>
      <c r="M73" s="331" t="s">
        <v>309</v>
      </c>
      <c r="N73" s="364"/>
      <c r="O73" s="365"/>
      <c r="P73" s="365"/>
      <c r="Q73" s="365">
        <v>3</v>
      </c>
      <c r="R73" s="365">
        <v>263</v>
      </c>
      <c r="S73" s="366">
        <v>539</v>
      </c>
      <c r="T73" s="363">
        <f t="shared" si="27"/>
        <v>805</v>
      </c>
      <c r="U73" s="740"/>
      <c r="AP73" s="417" t="s">
        <v>199</v>
      </c>
      <c r="AQ73" s="422"/>
      <c r="AR73" s="337"/>
      <c r="AS73" s="337"/>
      <c r="AT73" s="337"/>
      <c r="AU73" s="365"/>
      <c r="AV73" s="365"/>
      <c r="AW73" s="432">
        <v>5</v>
      </c>
      <c r="AX73" s="433">
        <f t="shared" si="38"/>
        <v>5</v>
      </c>
      <c r="AY73" s="740"/>
    </row>
    <row r="74" spans="1:51" ht="15.75" thickTop="1" x14ac:dyDescent="0.25">
      <c r="A74" s="322" t="s">
        <v>312</v>
      </c>
      <c r="B74" s="323"/>
      <c r="C74" s="323"/>
      <c r="D74" s="323"/>
      <c r="E74" s="323"/>
      <c r="F74" s="323">
        <v>35</v>
      </c>
      <c r="G74" s="323">
        <v>604</v>
      </c>
      <c r="H74" s="323">
        <v>1590</v>
      </c>
      <c r="I74" s="324">
        <f>SUM(B74:H74)</f>
        <v>2229</v>
      </c>
      <c r="J74" s="279">
        <f>I74/$I$73</f>
        <v>0.41765036537380551</v>
      </c>
      <c r="K74" s="744">
        <f>I73/I115</f>
        <v>7.7539990411018611E-2</v>
      </c>
      <c r="M74" s="331" t="s">
        <v>310</v>
      </c>
      <c r="N74" s="364"/>
      <c r="O74" s="365"/>
      <c r="P74" s="365"/>
      <c r="Q74" s="365">
        <v>5</v>
      </c>
      <c r="R74" s="365">
        <v>68</v>
      </c>
      <c r="S74" s="366">
        <v>303</v>
      </c>
      <c r="T74" s="363">
        <f t="shared" si="27"/>
        <v>376</v>
      </c>
      <c r="U74" s="740"/>
      <c r="AP74" s="417" t="s">
        <v>379</v>
      </c>
      <c r="AQ74" s="422"/>
      <c r="AR74" s="337"/>
      <c r="AS74" s="337"/>
      <c r="AT74" s="337"/>
      <c r="AU74" s="365"/>
      <c r="AV74" s="365"/>
      <c r="AW74" s="432">
        <v>4</v>
      </c>
      <c r="AX74" s="433">
        <f t="shared" si="38"/>
        <v>4</v>
      </c>
      <c r="AY74" s="740"/>
    </row>
    <row r="75" spans="1:51" ht="15" x14ac:dyDescent="0.25">
      <c r="A75" s="111" t="s">
        <v>442</v>
      </c>
      <c r="B75" s="150"/>
      <c r="C75" s="150"/>
      <c r="D75" s="150"/>
      <c r="E75" s="150"/>
      <c r="F75" s="150">
        <v>33</v>
      </c>
      <c r="G75" s="150">
        <v>529</v>
      </c>
      <c r="H75" s="150">
        <v>596</v>
      </c>
      <c r="I75" s="278">
        <f>SUM(B75:H75)</f>
        <v>1158</v>
      </c>
      <c r="J75" s="280">
        <f t="shared" ref="J75:J82" si="42">I75/$I$73</f>
        <v>0.21697582911748173</v>
      </c>
      <c r="K75" s="745"/>
      <c r="M75" s="331" t="s">
        <v>315</v>
      </c>
      <c r="N75" s="364"/>
      <c r="O75" s="365"/>
      <c r="P75" s="365"/>
      <c r="Q75" s="365">
        <v>1</v>
      </c>
      <c r="R75" s="365">
        <v>65</v>
      </c>
      <c r="S75" s="366">
        <v>251</v>
      </c>
      <c r="T75" s="363">
        <f t="shared" si="27"/>
        <v>317</v>
      </c>
      <c r="U75" s="740"/>
      <c r="AP75" s="417" t="s">
        <v>269</v>
      </c>
      <c r="AQ75" s="422"/>
      <c r="AR75" s="337"/>
      <c r="AS75" s="337"/>
      <c r="AT75" s="337"/>
      <c r="AU75" s="365">
        <v>1</v>
      </c>
      <c r="AV75" s="365">
        <v>1</v>
      </c>
      <c r="AW75" s="432">
        <v>2</v>
      </c>
      <c r="AX75" s="433">
        <f t="shared" si="38"/>
        <v>4</v>
      </c>
      <c r="AY75" s="740"/>
    </row>
    <row r="76" spans="1:51" ht="15" x14ac:dyDescent="0.25">
      <c r="A76" s="111" t="s">
        <v>323</v>
      </c>
      <c r="B76" s="150"/>
      <c r="C76" s="150"/>
      <c r="D76" s="150"/>
      <c r="E76" s="150"/>
      <c r="F76" s="150"/>
      <c r="G76" s="150"/>
      <c r="H76" s="150">
        <v>960</v>
      </c>
      <c r="I76" s="278">
        <f>SUM(B76:H76)</f>
        <v>960</v>
      </c>
      <c r="J76" s="280">
        <f t="shared" si="42"/>
        <v>0.17987633501967398</v>
      </c>
      <c r="K76" s="745"/>
      <c r="M76" s="331" t="s">
        <v>285</v>
      </c>
      <c r="N76" s="364"/>
      <c r="O76" s="365"/>
      <c r="P76" s="365"/>
      <c r="Q76" s="365">
        <v>2</v>
      </c>
      <c r="R76" s="365">
        <v>48</v>
      </c>
      <c r="S76" s="366">
        <v>258</v>
      </c>
      <c r="T76" s="363">
        <f t="shared" si="27"/>
        <v>308</v>
      </c>
      <c r="U76" s="740"/>
      <c r="AP76" s="417" t="s">
        <v>261</v>
      </c>
      <c r="AQ76" s="422"/>
      <c r="AR76" s="337"/>
      <c r="AS76" s="337"/>
      <c r="AT76" s="337"/>
      <c r="AU76" s="365"/>
      <c r="AV76" s="365">
        <v>4</v>
      </c>
      <c r="AW76" s="432"/>
      <c r="AX76" s="433">
        <f t="shared" si="38"/>
        <v>4</v>
      </c>
      <c r="AY76" s="740"/>
    </row>
    <row r="77" spans="1:51" ht="15" x14ac:dyDescent="0.25">
      <c r="A77" s="111" t="s">
        <v>314</v>
      </c>
      <c r="B77" s="150"/>
      <c r="C77" s="150"/>
      <c r="D77" s="150"/>
      <c r="E77" s="150"/>
      <c r="F77" s="150">
        <v>28</v>
      </c>
      <c r="G77" s="150">
        <v>350</v>
      </c>
      <c r="H77" s="150">
        <v>194</v>
      </c>
      <c r="I77" s="278">
        <f>SUM(B77:H77)</f>
        <v>572</v>
      </c>
      <c r="J77" s="280">
        <f t="shared" si="42"/>
        <v>0.10717631628255574</v>
      </c>
      <c r="K77" s="745"/>
      <c r="M77" s="331" t="s">
        <v>298</v>
      </c>
      <c r="N77" s="364"/>
      <c r="O77" s="365"/>
      <c r="P77" s="365"/>
      <c r="Q77" s="365">
        <v>4</v>
      </c>
      <c r="R77" s="365">
        <v>81</v>
      </c>
      <c r="S77" s="366">
        <v>214</v>
      </c>
      <c r="T77" s="363">
        <f t="shared" si="27"/>
        <v>299</v>
      </c>
      <c r="U77" s="740"/>
      <c r="AP77" s="417" t="s">
        <v>203</v>
      </c>
      <c r="AQ77" s="422"/>
      <c r="AR77" s="337"/>
      <c r="AS77" s="337"/>
      <c r="AT77" s="337"/>
      <c r="AU77" s="365"/>
      <c r="AV77" s="365">
        <v>2</v>
      </c>
      <c r="AW77" s="432">
        <v>2</v>
      </c>
      <c r="AX77" s="433">
        <f t="shared" si="38"/>
        <v>4</v>
      </c>
      <c r="AY77" s="740"/>
    </row>
    <row r="78" spans="1:51" ht="15" x14ac:dyDescent="0.25">
      <c r="A78" s="111" t="s">
        <v>326</v>
      </c>
      <c r="B78" s="150"/>
      <c r="C78" s="150"/>
      <c r="D78" s="150"/>
      <c r="E78" s="150"/>
      <c r="F78" s="150">
        <v>3</v>
      </c>
      <c r="G78" s="150">
        <v>156</v>
      </c>
      <c r="H78" s="150">
        <v>184</v>
      </c>
      <c r="I78" s="278">
        <f>SUM(B78:H78)</f>
        <v>343</v>
      </c>
      <c r="J78" s="280">
        <f t="shared" si="42"/>
        <v>6.426831553307101E-2</v>
      </c>
      <c r="K78" s="745"/>
      <c r="M78" s="331" t="s">
        <v>278</v>
      </c>
      <c r="N78" s="364"/>
      <c r="O78" s="365"/>
      <c r="P78" s="365"/>
      <c r="Q78" s="365"/>
      <c r="R78" s="365">
        <v>84</v>
      </c>
      <c r="S78" s="366">
        <v>206</v>
      </c>
      <c r="T78" s="363">
        <f t="shared" si="27"/>
        <v>290</v>
      </c>
      <c r="U78" s="740"/>
      <c r="AP78" s="417" t="s">
        <v>272</v>
      </c>
      <c r="AQ78" s="422"/>
      <c r="AR78" s="337"/>
      <c r="AS78" s="337"/>
      <c r="AT78" s="337"/>
      <c r="AU78" s="365">
        <v>2</v>
      </c>
      <c r="AV78" s="365"/>
      <c r="AW78" s="432"/>
      <c r="AX78" s="433">
        <f t="shared" si="38"/>
        <v>2</v>
      </c>
      <c r="AY78" s="740"/>
    </row>
    <row r="79" spans="1:51" ht="15" x14ac:dyDescent="0.25">
      <c r="A79" s="111" t="s">
        <v>305</v>
      </c>
      <c r="B79" s="150"/>
      <c r="C79" s="150"/>
      <c r="D79" s="150"/>
      <c r="E79" s="150"/>
      <c r="F79" s="150"/>
      <c r="G79" s="150"/>
      <c r="H79" s="150">
        <v>63</v>
      </c>
      <c r="I79" s="278">
        <f>SUM(B79:H79)</f>
        <v>63</v>
      </c>
      <c r="J79" s="280">
        <f t="shared" si="42"/>
        <v>1.1804384485666104E-2</v>
      </c>
      <c r="K79" s="745"/>
      <c r="M79" s="331" t="s">
        <v>296</v>
      </c>
      <c r="N79" s="364"/>
      <c r="O79" s="365"/>
      <c r="P79" s="365"/>
      <c r="Q79" s="365"/>
      <c r="R79" s="365">
        <v>42</v>
      </c>
      <c r="S79" s="366">
        <v>143</v>
      </c>
      <c r="T79" s="363">
        <f t="shared" si="27"/>
        <v>185</v>
      </c>
      <c r="U79" s="740"/>
      <c r="AP79" s="417" t="s">
        <v>262</v>
      </c>
      <c r="AQ79" s="422"/>
      <c r="AR79" s="337"/>
      <c r="AS79" s="337"/>
      <c r="AT79" s="337"/>
      <c r="AU79" s="365"/>
      <c r="AV79" s="365">
        <v>1</v>
      </c>
      <c r="AW79" s="432">
        <v>1</v>
      </c>
      <c r="AX79" s="433">
        <f t="shared" si="38"/>
        <v>2</v>
      </c>
      <c r="AY79" s="740"/>
    </row>
    <row r="80" spans="1:51" ht="15" x14ac:dyDescent="0.25">
      <c r="A80" s="111" t="s">
        <v>304</v>
      </c>
      <c r="B80" s="150"/>
      <c r="C80" s="150"/>
      <c r="D80" s="150"/>
      <c r="E80" s="150"/>
      <c r="F80" s="150"/>
      <c r="G80" s="150"/>
      <c r="H80" s="150">
        <v>6</v>
      </c>
      <c r="I80" s="278">
        <f>SUM(B80:H80)</f>
        <v>6</v>
      </c>
      <c r="J80" s="280">
        <f t="shared" si="42"/>
        <v>1.1242270938729624E-3</v>
      </c>
      <c r="K80" s="745"/>
      <c r="M80" s="331" t="s">
        <v>311</v>
      </c>
      <c r="N80" s="364"/>
      <c r="O80" s="365"/>
      <c r="P80" s="365"/>
      <c r="Q80" s="365"/>
      <c r="R80" s="365">
        <v>5</v>
      </c>
      <c r="S80" s="366">
        <v>174</v>
      </c>
      <c r="T80" s="363">
        <f t="shared" si="27"/>
        <v>179</v>
      </c>
      <c r="U80" s="740"/>
      <c r="AP80" s="417" t="s">
        <v>268</v>
      </c>
      <c r="AQ80" s="422"/>
      <c r="AR80" s="337"/>
      <c r="AS80" s="337"/>
      <c r="AT80" s="337"/>
      <c r="AU80" s="365"/>
      <c r="AV80" s="365">
        <v>1</v>
      </c>
      <c r="AW80" s="432">
        <v>1</v>
      </c>
      <c r="AX80" s="433">
        <f t="shared" si="38"/>
        <v>2</v>
      </c>
      <c r="AY80" s="740"/>
    </row>
    <row r="81" spans="1:51" ht="15.75" thickBot="1" x14ac:dyDescent="0.3">
      <c r="A81" s="111" t="s">
        <v>321</v>
      </c>
      <c r="B81" s="150"/>
      <c r="C81" s="150"/>
      <c r="D81" s="150"/>
      <c r="E81" s="150"/>
      <c r="F81" s="150">
        <v>3</v>
      </c>
      <c r="G81" s="150"/>
      <c r="H81" s="150"/>
      <c r="I81" s="278">
        <f>SUM(B81:H81)</f>
        <v>3</v>
      </c>
      <c r="J81" s="280">
        <f t="shared" si="42"/>
        <v>5.6211354693648118E-4</v>
      </c>
      <c r="K81" s="745"/>
      <c r="M81" s="331" t="s">
        <v>316</v>
      </c>
      <c r="N81" s="364"/>
      <c r="O81" s="365"/>
      <c r="P81" s="365"/>
      <c r="Q81" s="365"/>
      <c r="R81" s="365">
        <v>64</v>
      </c>
      <c r="S81" s="366">
        <v>99</v>
      </c>
      <c r="T81" s="363">
        <f t="shared" si="27"/>
        <v>163</v>
      </c>
      <c r="U81" s="740"/>
      <c r="AP81" s="811" t="s">
        <v>327</v>
      </c>
      <c r="AQ81" s="812"/>
      <c r="AR81" s="813"/>
      <c r="AS81" s="813"/>
      <c r="AT81" s="813"/>
      <c r="AU81" s="814"/>
      <c r="AV81" s="814"/>
      <c r="AW81" s="815">
        <v>1</v>
      </c>
      <c r="AX81" s="816">
        <f t="shared" si="38"/>
        <v>1</v>
      </c>
      <c r="AY81" s="740"/>
    </row>
    <row r="82" spans="1:51" ht="16.5" thickTop="1" thickBot="1" x14ac:dyDescent="0.3">
      <c r="A82" s="111" t="s">
        <v>303</v>
      </c>
      <c r="B82" s="150"/>
      <c r="C82" s="150"/>
      <c r="D82" s="150"/>
      <c r="E82" s="150"/>
      <c r="F82" s="150">
        <v>1</v>
      </c>
      <c r="G82" s="150"/>
      <c r="H82" s="150">
        <v>2</v>
      </c>
      <c r="I82" s="278">
        <f>SUM(B82:H82)</f>
        <v>3</v>
      </c>
      <c r="J82" s="281">
        <f t="shared" si="42"/>
        <v>5.6211354693648118E-4</v>
      </c>
      <c r="K82" s="746"/>
      <c r="M82" s="331" t="s">
        <v>281</v>
      </c>
      <c r="N82" s="364"/>
      <c r="O82" s="365"/>
      <c r="P82" s="365"/>
      <c r="Q82" s="365">
        <v>2</v>
      </c>
      <c r="R82" s="365">
        <v>112</v>
      </c>
      <c r="S82" s="366">
        <v>30</v>
      </c>
      <c r="T82" s="363">
        <f t="shared" si="27"/>
        <v>144</v>
      </c>
      <c r="U82" s="740"/>
      <c r="AP82" s="415" t="s">
        <v>326</v>
      </c>
      <c r="AQ82" s="420"/>
      <c r="AR82" s="342"/>
      <c r="AS82" s="342"/>
      <c r="AT82" s="342"/>
      <c r="AU82" s="436">
        <f>AU83+AU84</f>
        <v>3</v>
      </c>
      <c r="AV82" s="436">
        <f t="shared" ref="AV82:AW82" si="43">AV83+AV84</f>
        <v>156</v>
      </c>
      <c r="AW82" s="437">
        <f t="shared" si="43"/>
        <v>188</v>
      </c>
      <c r="AX82" s="438">
        <f t="shared" si="38"/>
        <v>347</v>
      </c>
      <c r="AY82" s="817"/>
    </row>
    <row r="83" spans="1:51" ht="20.25" thickTop="1" thickBot="1" x14ac:dyDescent="0.3">
      <c r="A83" s="277" t="s">
        <v>214</v>
      </c>
      <c r="B83" s="848">
        <f t="shared" ref="B83:H83" si="44">SUM(B84:B103)</f>
        <v>0</v>
      </c>
      <c r="C83" s="848">
        <f t="shared" si="44"/>
        <v>1</v>
      </c>
      <c r="D83" s="848">
        <f t="shared" si="44"/>
        <v>0</v>
      </c>
      <c r="E83" s="848">
        <f t="shared" si="44"/>
        <v>0</v>
      </c>
      <c r="F83" s="848">
        <f t="shared" si="44"/>
        <v>53</v>
      </c>
      <c r="G83" s="848">
        <f t="shared" si="44"/>
        <v>1323</v>
      </c>
      <c r="H83" s="848">
        <f t="shared" si="44"/>
        <v>2697</v>
      </c>
      <c r="I83" s="282">
        <f>SUM(I84:I103)</f>
        <v>4074</v>
      </c>
      <c r="J83" s="174"/>
      <c r="K83" s="175"/>
      <c r="M83" s="331" t="s">
        <v>317</v>
      </c>
      <c r="N83" s="364"/>
      <c r="O83" s="365"/>
      <c r="P83" s="365"/>
      <c r="Q83" s="365">
        <v>1</v>
      </c>
      <c r="R83" s="365">
        <v>39</v>
      </c>
      <c r="S83" s="366">
        <v>40</v>
      </c>
      <c r="T83" s="363">
        <f t="shared" si="27"/>
        <v>80</v>
      </c>
      <c r="U83" s="740"/>
      <c r="AP83" s="417" t="s">
        <v>201</v>
      </c>
      <c r="AQ83" s="422"/>
      <c r="AR83" s="337"/>
      <c r="AS83" s="337"/>
      <c r="AT83" s="337"/>
      <c r="AU83" s="365">
        <v>3</v>
      </c>
      <c r="AV83" s="365">
        <v>156</v>
      </c>
      <c r="AW83" s="432">
        <v>184</v>
      </c>
      <c r="AX83" s="433">
        <f t="shared" si="38"/>
        <v>343</v>
      </c>
      <c r="AY83" s="739">
        <f>AX82/AX22</f>
        <v>6.5017800262319653E-2</v>
      </c>
    </row>
    <row r="84" spans="1:51" ht="16.5" thickTop="1" thickBot="1" x14ac:dyDescent="0.3">
      <c r="A84" s="110" t="s">
        <v>284</v>
      </c>
      <c r="B84" s="849"/>
      <c r="C84" s="823">
        <v>1</v>
      </c>
      <c r="D84" s="849"/>
      <c r="E84" s="849"/>
      <c r="F84" s="849">
        <v>28</v>
      </c>
      <c r="G84" s="823">
        <v>482</v>
      </c>
      <c r="H84" s="823">
        <v>686</v>
      </c>
      <c r="I84" s="837">
        <f t="shared" ref="I84:I103" si="45">SUM(C84:H84)</f>
        <v>1197</v>
      </c>
      <c r="J84" s="283">
        <f>I84/$I$83</f>
        <v>0.29381443298969073</v>
      </c>
      <c r="K84" s="742">
        <f>I83/I115</f>
        <v>5.9190166935448721E-2</v>
      </c>
      <c r="M84" s="331" t="s">
        <v>325</v>
      </c>
      <c r="N84" s="364"/>
      <c r="O84" s="365"/>
      <c r="P84" s="365"/>
      <c r="Q84" s="365"/>
      <c r="R84" s="365">
        <v>8</v>
      </c>
      <c r="S84" s="366">
        <v>69</v>
      </c>
      <c r="T84" s="363">
        <f t="shared" si="27"/>
        <v>77</v>
      </c>
      <c r="U84" s="740"/>
      <c r="AP84" s="417" t="s">
        <v>205</v>
      </c>
      <c r="AQ84" s="422"/>
      <c r="AR84" s="337"/>
      <c r="AS84" s="337"/>
      <c r="AT84" s="337"/>
      <c r="AU84" s="365"/>
      <c r="AV84" s="365"/>
      <c r="AW84" s="432">
        <v>4</v>
      </c>
      <c r="AX84" s="433">
        <f t="shared" si="38"/>
        <v>4</v>
      </c>
      <c r="AY84" s="741"/>
    </row>
    <row r="85" spans="1:51" ht="16.5" thickTop="1" thickBot="1" x14ac:dyDescent="0.3">
      <c r="A85" s="111" t="s">
        <v>305</v>
      </c>
      <c r="B85" s="67"/>
      <c r="C85" s="67"/>
      <c r="D85" s="67"/>
      <c r="E85" s="67"/>
      <c r="F85" s="67">
        <v>10</v>
      </c>
      <c r="G85" s="150">
        <v>177</v>
      </c>
      <c r="H85" s="150">
        <v>770</v>
      </c>
      <c r="I85" s="278">
        <f t="shared" si="45"/>
        <v>957</v>
      </c>
      <c r="J85" s="284">
        <f t="shared" ref="J85:J103" si="46">I85/$I$83</f>
        <v>0.23490427098674521</v>
      </c>
      <c r="K85" s="743"/>
      <c r="M85" s="331" t="s">
        <v>293</v>
      </c>
      <c r="N85" s="364"/>
      <c r="O85" s="365"/>
      <c r="P85" s="365"/>
      <c r="Q85" s="365"/>
      <c r="R85" s="365">
        <v>46</v>
      </c>
      <c r="S85" s="366">
        <v>15</v>
      </c>
      <c r="T85" s="363">
        <f t="shared" si="27"/>
        <v>61</v>
      </c>
      <c r="U85" s="740"/>
      <c r="AP85" s="415" t="s">
        <v>305</v>
      </c>
      <c r="AQ85" s="420"/>
      <c r="AR85" s="342"/>
      <c r="AS85" s="342"/>
      <c r="AT85" s="342"/>
      <c r="AU85" s="436">
        <f>SUM(AU86:AU95)</f>
        <v>0</v>
      </c>
      <c r="AV85" s="436">
        <f t="shared" ref="AV85:AW85" si="47">SUM(AV86:AV95)</f>
        <v>0</v>
      </c>
      <c r="AW85" s="437">
        <f t="shared" si="47"/>
        <v>63</v>
      </c>
      <c r="AX85" s="438">
        <f t="shared" si="38"/>
        <v>63</v>
      </c>
      <c r="AY85" s="455"/>
    </row>
    <row r="86" spans="1:51" ht="15.75" thickTop="1" x14ac:dyDescent="0.25">
      <c r="A86" s="111" t="s">
        <v>298</v>
      </c>
      <c r="B86" s="67"/>
      <c r="C86" s="67"/>
      <c r="D86" s="67"/>
      <c r="E86" s="67"/>
      <c r="F86" s="67"/>
      <c r="G86" s="150">
        <v>211</v>
      </c>
      <c r="H86" s="150">
        <v>206</v>
      </c>
      <c r="I86" s="278">
        <f t="shared" si="45"/>
        <v>417</v>
      </c>
      <c r="J86" s="284">
        <f t="shared" si="46"/>
        <v>0.10235640648011782</v>
      </c>
      <c r="K86" s="743"/>
      <c r="M86" s="331" t="s">
        <v>280</v>
      </c>
      <c r="N86" s="364"/>
      <c r="O86" s="365"/>
      <c r="P86" s="365"/>
      <c r="Q86" s="365"/>
      <c r="R86" s="365">
        <v>6</v>
      </c>
      <c r="S86" s="366">
        <v>43</v>
      </c>
      <c r="T86" s="363">
        <f t="shared" si="27"/>
        <v>49</v>
      </c>
      <c r="U86" s="740"/>
      <c r="AP86" s="419" t="s">
        <v>201</v>
      </c>
      <c r="AQ86" s="425"/>
      <c r="AR86" s="345"/>
      <c r="AS86" s="345"/>
      <c r="AT86" s="345"/>
      <c r="AU86" s="375"/>
      <c r="AV86" s="375"/>
      <c r="AW86" s="442">
        <v>20</v>
      </c>
      <c r="AX86" s="443">
        <f t="shared" si="38"/>
        <v>20</v>
      </c>
      <c r="AY86" s="739">
        <f>AX85/AX22</f>
        <v>1.1804384485666104E-2</v>
      </c>
    </row>
    <row r="87" spans="1:51" ht="15" x14ac:dyDescent="0.25">
      <c r="A87" s="111" t="s">
        <v>321</v>
      </c>
      <c r="B87" s="67"/>
      <c r="C87" s="67"/>
      <c r="D87" s="67"/>
      <c r="E87" s="67"/>
      <c r="F87" s="67"/>
      <c r="G87" s="150">
        <v>178</v>
      </c>
      <c r="H87" s="150">
        <v>154</v>
      </c>
      <c r="I87" s="278">
        <f t="shared" si="45"/>
        <v>332</v>
      </c>
      <c r="J87" s="284">
        <f t="shared" si="46"/>
        <v>8.1492390770741288E-2</v>
      </c>
      <c r="K87" s="743"/>
      <c r="M87" s="331" t="s">
        <v>299</v>
      </c>
      <c r="N87" s="364"/>
      <c r="O87" s="365"/>
      <c r="P87" s="365"/>
      <c r="Q87" s="365"/>
      <c r="R87" s="365">
        <v>5</v>
      </c>
      <c r="S87" s="366">
        <v>41</v>
      </c>
      <c r="T87" s="363">
        <f t="shared" si="27"/>
        <v>46</v>
      </c>
      <c r="U87" s="740"/>
      <c r="AP87" s="417" t="s">
        <v>263</v>
      </c>
      <c r="AQ87" s="422"/>
      <c r="AR87" s="337"/>
      <c r="AS87" s="337"/>
      <c r="AT87" s="337"/>
      <c r="AU87" s="365"/>
      <c r="AV87" s="365"/>
      <c r="AW87" s="432">
        <v>14</v>
      </c>
      <c r="AX87" s="433">
        <f t="shared" si="38"/>
        <v>14</v>
      </c>
      <c r="AY87" s="740"/>
    </row>
    <row r="88" spans="1:51" ht="15" x14ac:dyDescent="0.25">
      <c r="A88" s="111" t="s">
        <v>315</v>
      </c>
      <c r="B88" s="67"/>
      <c r="C88" s="67"/>
      <c r="D88" s="67"/>
      <c r="E88" s="67"/>
      <c r="F88" s="67"/>
      <c r="G88" s="150">
        <v>49</v>
      </c>
      <c r="H88" s="150">
        <v>201</v>
      </c>
      <c r="I88" s="278">
        <f t="shared" si="45"/>
        <v>250</v>
      </c>
      <c r="J88" s="284">
        <f t="shared" si="46"/>
        <v>6.1364752086401568E-2</v>
      </c>
      <c r="K88" s="743"/>
      <c r="M88" s="331" t="s">
        <v>306</v>
      </c>
      <c r="N88" s="364"/>
      <c r="O88" s="365"/>
      <c r="P88" s="365"/>
      <c r="Q88" s="365">
        <v>1</v>
      </c>
      <c r="R88" s="365">
        <v>6</v>
      </c>
      <c r="S88" s="366">
        <v>20</v>
      </c>
      <c r="T88" s="363">
        <f t="shared" si="27"/>
        <v>27</v>
      </c>
      <c r="U88" s="740"/>
      <c r="AP88" s="417" t="s">
        <v>266</v>
      </c>
      <c r="AQ88" s="422"/>
      <c r="AR88" s="337"/>
      <c r="AS88" s="337"/>
      <c r="AT88" s="337"/>
      <c r="AU88" s="365"/>
      <c r="AV88" s="365"/>
      <c r="AW88" s="432">
        <v>12</v>
      </c>
      <c r="AX88" s="433">
        <f t="shared" si="38"/>
        <v>12</v>
      </c>
      <c r="AY88" s="740"/>
    </row>
    <row r="89" spans="1:51" ht="15" x14ac:dyDescent="0.25">
      <c r="A89" s="111" t="s">
        <v>312</v>
      </c>
      <c r="B89" s="67"/>
      <c r="C89" s="67"/>
      <c r="D89" s="67"/>
      <c r="E89" s="67"/>
      <c r="F89" s="67">
        <v>3</v>
      </c>
      <c r="G89" s="150">
        <v>33</v>
      </c>
      <c r="H89" s="150">
        <v>206</v>
      </c>
      <c r="I89" s="278">
        <f t="shared" si="45"/>
        <v>242</v>
      </c>
      <c r="J89" s="284">
        <f t="shared" si="46"/>
        <v>5.9401080019636718E-2</v>
      </c>
      <c r="K89" s="743"/>
      <c r="M89" s="331" t="s">
        <v>279</v>
      </c>
      <c r="N89" s="364"/>
      <c r="O89" s="365"/>
      <c r="P89" s="365"/>
      <c r="Q89" s="365"/>
      <c r="R89" s="365"/>
      <c r="S89" s="366">
        <v>22</v>
      </c>
      <c r="T89" s="363">
        <f t="shared" ref="T89:T95" si="48">SUM(Q89:S89)</f>
        <v>22</v>
      </c>
      <c r="U89" s="740"/>
      <c r="AP89" s="417" t="s">
        <v>198</v>
      </c>
      <c r="AQ89" s="422"/>
      <c r="AR89" s="337"/>
      <c r="AS89" s="337"/>
      <c r="AT89" s="337"/>
      <c r="AU89" s="365"/>
      <c r="AV89" s="365"/>
      <c r="AW89" s="432">
        <v>5</v>
      </c>
      <c r="AX89" s="433">
        <f t="shared" si="38"/>
        <v>5</v>
      </c>
      <c r="AY89" s="740"/>
    </row>
    <row r="90" spans="1:51" ht="15" x14ac:dyDescent="0.25">
      <c r="A90" s="111" t="s">
        <v>316</v>
      </c>
      <c r="B90" s="67"/>
      <c r="C90" s="67"/>
      <c r="D90" s="67"/>
      <c r="E90" s="67"/>
      <c r="F90" s="67">
        <v>4</v>
      </c>
      <c r="G90" s="150">
        <v>89</v>
      </c>
      <c r="H90" s="150">
        <v>89</v>
      </c>
      <c r="I90" s="278">
        <f t="shared" si="45"/>
        <v>182</v>
      </c>
      <c r="J90" s="284">
        <f t="shared" si="46"/>
        <v>4.4673539518900345E-2</v>
      </c>
      <c r="K90" s="743"/>
      <c r="M90" s="331" t="s">
        <v>297</v>
      </c>
      <c r="N90" s="364"/>
      <c r="O90" s="365"/>
      <c r="P90" s="365"/>
      <c r="Q90" s="365"/>
      <c r="R90" s="365"/>
      <c r="S90" s="366">
        <v>21</v>
      </c>
      <c r="T90" s="363">
        <f t="shared" si="48"/>
        <v>21</v>
      </c>
      <c r="U90" s="740"/>
      <c r="AP90" s="417" t="s">
        <v>264</v>
      </c>
      <c r="AQ90" s="422"/>
      <c r="AR90" s="337"/>
      <c r="AS90" s="337"/>
      <c r="AT90" s="337"/>
      <c r="AU90" s="365"/>
      <c r="AV90" s="365"/>
      <c r="AW90" s="432">
        <v>4</v>
      </c>
      <c r="AX90" s="433">
        <f t="shared" si="38"/>
        <v>4</v>
      </c>
      <c r="AY90" s="740"/>
    </row>
    <row r="91" spans="1:51" ht="15" x14ac:dyDescent="0.25">
      <c r="A91" s="111" t="s">
        <v>285</v>
      </c>
      <c r="B91" s="67"/>
      <c r="C91" s="67"/>
      <c r="D91" s="67"/>
      <c r="E91" s="67"/>
      <c r="F91" s="67">
        <v>7</v>
      </c>
      <c r="G91" s="150">
        <v>35</v>
      </c>
      <c r="H91" s="150">
        <v>135</v>
      </c>
      <c r="I91" s="278">
        <f t="shared" si="45"/>
        <v>177</v>
      </c>
      <c r="J91" s="284">
        <f t="shared" si="46"/>
        <v>4.3446244477172311E-2</v>
      </c>
      <c r="K91" s="743"/>
      <c r="M91" s="331" t="s">
        <v>302</v>
      </c>
      <c r="N91" s="364"/>
      <c r="O91" s="365"/>
      <c r="P91" s="365"/>
      <c r="Q91" s="365"/>
      <c r="R91" s="365"/>
      <c r="S91" s="366">
        <v>16</v>
      </c>
      <c r="T91" s="363">
        <f t="shared" si="48"/>
        <v>16</v>
      </c>
      <c r="U91" s="740"/>
      <c r="AP91" s="417" t="s">
        <v>268</v>
      </c>
      <c r="AQ91" s="422"/>
      <c r="AR91" s="337"/>
      <c r="AS91" s="337"/>
      <c r="AT91" s="337"/>
      <c r="AU91" s="365"/>
      <c r="AV91" s="365"/>
      <c r="AW91" s="432">
        <v>3</v>
      </c>
      <c r="AX91" s="433">
        <f t="shared" si="38"/>
        <v>3</v>
      </c>
      <c r="AY91" s="740"/>
    </row>
    <row r="92" spans="1:51" ht="15" x14ac:dyDescent="0.25">
      <c r="A92" s="111" t="s">
        <v>322</v>
      </c>
      <c r="B92" s="67"/>
      <c r="C92" s="67"/>
      <c r="D92" s="67"/>
      <c r="E92" s="67"/>
      <c r="F92" s="67"/>
      <c r="G92" s="150">
        <v>27</v>
      </c>
      <c r="H92" s="150">
        <v>69</v>
      </c>
      <c r="I92" s="278">
        <f t="shared" si="45"/>
        <v>96</v>
      </c>
      <c r="J92" s="284">
        <f t="shared" si="46"/>
        <v>2.3564064801178203E-2</v>
      </c>
      <c r="K92" s="743"/>
      <c r="M92" s="331" t="s">
        <v>277</v>
      </c>
      <c r="N92" s="364"/>
      <c r="O92" s="365"/>
      <c r="P92" s="365"/>
      <c r="Q92" s="365"/>
      <c r="R92" s="365">
        <v>3</v>
      </c>
      <c r="S92" s="366">
        <v>11</v>
      </c>
      <c r="T92" s="363">
        <f t="shared" si="48"/>
        <v>14</v>
      </c>
      <c r="U92" s="740"/>
      <c r="AP92" s="417" t="s">
        <v>208</v>
      </c>
      <c r="AQ92" s="422"/>
      <c r="AR92" s="337"/>
      <c r="AS92" s="337"/>
      <c r="AT92" s="337"/>
      <c r="AU92" s="365"/>
      <c r="AV92" s="365"/>
      <c r="AW92" s="432">
        <v>2</v>
      </c>
      <c r="AX92" s="433">
        <f t="shared" si="38"/>
        <v>2</v>
      </c>
      <c r="AY92" s="740"/>
    </row>
    <row r="93" spans="1:51" ht="15" x14ac:dyDescent="0.25">
      <c r="A93" s="111" t="s">
        <v>314</v>
      </c>
      <c r="B93" s="67"/>
      <c r="C93" s="67"/>
      <c r="D93" s="67"/>
      <c r="E93" s="67"/>
      <c r="F93" s="67"/>
      <c r="G93" s="150">
        <v>9</v>
      </c>
      <c r="H93" s="150">
        <v>56</v>
      </c>
      <c r="I93" s="278">
        <f t="shared" si="45"/>
        <v>65</v>
      </c>
      <c r="J93" s="284">
        <f t="shared" si="46"/>
        <v>1.5954835542464407E-2</v>
      </c>
      <c r="K93" s="743"/>
      <c r="M93" s="331" t="s">
        <v>295</v>
      </c>
      <c r="N93" s="364"/>
      <c r="O93" s="365"/>
      <c r="P93" s="365"/>
      <c r="Q93" s="365"/>
      <c r="R93" s="365">
        <v>2</v>
      </c>
      <c r="S93" s="366">
        <v>4</v>
      </c>
      <c r="T93" s="363">
        <f t="shared" si="48"/>
        <v>6</v>
      </c>
      <c r="U93" s="740"/>
      <c r="AP93" s="417" t="s">
        <v>199</v>
      </c>
      <c r="AQ93" s="422"/>
      <c r="AR93" s="337"/>
      <c r="AS93" s="337"/>
      <c r="AT93" s="337"/>
      <c r="AU93" s="365"/>
      <c r="AV93" s="365"/>
      <c r="AW93" s="432">
        <v>1</v>
      </c>
      <c r="AX93" s="433">
        <f t="shared" si="38"/>
        <v>1</v>
      </c>
      <c r="AY93" s="740"/>
    </row>
    <row r="94" spans="1:51" ht="15" x14ac:dyDescent="0.25">
      <c r="A94" s="111" t="s">
        <v>299</v>
      </c>
      <c r="B94" s="67"/>
      <c r="C94" s="67"/>
      <c r="D94" s="67"/>
      <c r="E94" s="67"/>
      <c r="F94" s="67"/>
      <c r="G94" s="150">
        <v>6</v>
      </c>
      <c r="H94" s="150">
        <v>48</v>
      </c>
      <c r="I94" s="278">
        <f t="shared" si="45"/>
        <v>54</v>
      </c>
      <c r="J94" s="284">
        <f t="shared" si="46"/>
        <v>1.3254786450662739E-2</v>
      </c>
      <c r="K94" s="743"/>
      <c r="M94" s="331" t="s">
        <v>307</v>
      </c>
      <c r="N94" s="364"/>
      <c r="O94" s="365"/>
      <c r="P94" s="365"/>
      <c r="Q94" s="365"/>
      <c r="R94" s="365"/>
      <c r="S94" s="366">
        <v>4</v>
      </c>
      <c r="T94" s="363">
        <f t="shared" si="48"/>
        <v>4</v>
      </c>
      <c r="U94" s="740"/>
      <c r="AP94" s="417" t="s">
        <v>200</v>
      </c>
      <c r="AQ94" s="422"/>
      <c r="AR94" s="337"/>
      <c r="AS94" s="337"/>
      <c r="AT94" s="337"/>
      <c r="AU94" s="365"/>
      <c r="AV94" s="365"/>
      <c r="AW94" s="432">
        <v>1</v>
      </c>
      <c r="AX94" s="433">
        <f t="shared" si="38"/>
        <v>1</v>
      </c>
      <c r="AY94" s="740"/>
    </row>
    <row r="95" spans="1:51" ht="15.75" thickBot="1" x14ac:dyDescent="0.3">
      <c r="A95" s="111" t="s">
        <v>311</v>
      </c>
      <c r="B95" s="67"/>
      <c r="C95" s="67"/>
      <c r="D95" s="67"/>
      <c r="E95" s="67"/>
      <c r="F95" s="67"/>
      <c r="G95" s="150">
        <v>8</v>
      </c>
      <c r="H95" s="150">
        <v>22</v>
      </c>
      <c r="I95" s="278">
        <f t="shared" si="45"/>
        <v>30</v>
      </c>
      <c r="J95" s="284">
        <f t="shared" si="46"/>
        <v>7.3637702503681884E-3</v>
      </c>
      <c r="K95" s="743"/>
      <c r="M95" s="331" t="s">
        <v>294</v>
      </c>
      <c r="N95" s="367"/>
      <c r="O95" s="368"/>
      <c r="P95" s="368"/>
      <c r="Q95" s="368"/>
      <c r="R95" s="368"/>
      <c r="S95" s="369">
        <v>2</v>
      </c>
      <c r="T95" s="363">
        <f t="shared" si="48"/>
        <v>2</v>
      </c>
      <c r="U95" s="741"/>
      <c r="AP95" s="418" t="s">
        <v>270</v>
      </c>
      <c r="AQ95" s="423"/>
      <c r="AR95" s="340"/>
      <c r="AS95" s="340"/>
      <c r="AT95" s="340"/>
      <c r="AU95" s="368"/>
      <c r="AV95" s="368"/>
      <c r="AW95" s="434">
        <v>1</v>
      </c>
      <c r="AX95" s="435">
        <f t="shared" si="38"/>
        <v>1</v>
      </c>
      <c r="AY95" s="741"/>
    </row>
    <row r="96" spans="1:51" ht="16.5" thickTop="1" thickBot="1" x14ac:dyDescent="0.3">
      <c r="A96" s="111" t="s">
        <v>306</v>
      </c>
      <c r="B96" s="67"/>
      <c r="C96" s="67"/>
      <c r="D96" s="67"/>
      <c r="E96" s="67"/>
      <c r="F96" s="67"/>
      <c r="G96" s="150">
        <v>12</v>
      </c>
      <c r="H96" s="150">
        <v>17</v>
      </c>
      <c r="I96" s="278">
        <f t="shared" si="45"/>
        <v>29</v>
      </c>
      <c r="J96" s="284">
        <f t="shared" si="46"/>
        <v>7.1183112420225821E-3</v>
      </c>
      <c r="K96" s="743"/>
      <c r="M96" s="343" t="s">
        <v>215</v>
      </c>
      <c r="N96" s="370">
        <f>SUM(N97:N140)</f>
        <v>1</v>
      </c>
      <c r="O96" s="371">
        <f t="shared" ref="O96:T96" si="49">SUM(O97:O140)</f>
        <v>1</v>
      </c>
      <c r="P96" s="371">
        <f t="shared" si="49"/>
        <v>0</v>
      </c>
      <c r="Q96" s="371">
        <f t="shared" si="49"/>
        <v>86</v>
      </c>
      <c r="R96" s="371">
        <f t="shared" si="49"/>
        <v>4156</v>
      </c>
      <c r="S96" s="372">
        <f t="shared" si="49"/>
        <v>11305</v>
      </c>
      <c r="T96" s="373">
        <f t="shared" si="49"/>
        <v>15549</v>
      </c>
      <c r="AP96" s="415" t="s">
        <v>304</v>
      </c>
      <c r="AQ96" s="420"/>
      <c r="AR96" s="342"/>
      <c r="AS96" s="342"/>
      <c r="AT96" s="342"/>
      <c r="AU96" s="436">
        <f>AU97+AU98</f>
        <v>0</v>
      </c>
      <c r="AV96" s="436">
        <f t="shared" ref="AV96:AW96" si="50">AV97+AV98</f>
        <v>0</v>
      </c>
      <c r="AW96" s="437">
        <f t="shared" si="50"/>
        <v>6</v>
      </c>
      <c r="AX96" s="438">
        <f t="shared" si="38"/>
        <v>6</v>
      </c>
      <c r="AY96" s="455"/>
    </row>
    <row r="97" spans="1:51" ht="15.75" thickTop="1" x14ac:dyDescent="0.25">
      <c r="A97" s="111" t="s">
        <v>317</v>
      </c>
      <c r="B97" s="67"/>
      <c r="C97" s="67"/>
      <c r="D97" s="67"/>
      <c r="E97" s="67"/>
      <c r="F97" s="67"/>
      <c r="G97" s="150"/>
      <c r="H97" s="150">
        <v>21</v>
      </c>
      <c r="I97" s="278">
        <f t="shared" si="45"/>
        <v>21</v>
      </c>
      <c r="J97" s="284">
        <f t="shared" si="46"/>
        <v>5.1546391752577319E-3</v>
      </c>
      <c r="K97" s="743"/>
      <c r="M97" s="855" t="s">
        <v>284</v>
      </c>
      <c r="N97" s="360"/>
      <c r="O97" s="361"/>
      <c r="P97" s="361"/>
      <c r="Q97" s="361">
        <v>14</v>
      </c>
      <c r="R97" s="361">
        <v>1146</v>
      </c>
      <c r="S97" s="362">
        <v>1534</v>
      </c>
      <c r="T97" s="856">
        <f>SUM(N97:S97)</f>
        <v>2694</v>
      </c>
      <c r="U97" s="739">
        <f>T96/T22</f>
        <v>0.26626823755051715</v>
      </c>
      <c r="AP97" s="419" t="s">
        <v>270</v>
      </c>
      <c r="AQ97" s="425"/>
      <c r="AR97" s="345"/>
      <c r="AS97" s="345"/>
      <c r="AT97" s="345"/>
      <c r="AU97" s="375"/>
      <c r="AV97" s="375"/>
      <c r="AW97" s="442">
        <v>5</v>
      </c>
      <c r="AX97" s="443">
        <f t="shared" si="38"/>
        <v>5</v>
      </c>
      <c r="AY97" s="739">
        <f>AX96/AX22</f>
        <v>1.1242270938729624E-3</v>
      </c>
    </row>
    <row r="98" spans="1:51" ht="15.75" thickBot="1" x14ac:dyDescent="0.3">
      <c r="A98" s="111" t="s">
        <v>296</v>
      </c>
      <c r="B98" s="67"/>
      <c r="C98" s="67"/>
      <c r="D98" s="67"/>
      <c r="E98" s="67"/>
      <c r="F98" s="67"/>
      <c r="G98" s="150"/>
      <c r="H98" s="150">
        <v>11</v>
      </c>
      <c r="I98" s="278">
        <f t="shared" si="45"/>
        <v>11</v>
      </c>
      <c r="J98" s="284">
        <f t="shared" si="46"/>
        <v>2.7000490918016691E-3</v>
      </c>
      <c r="K98" s="743"/>
      <c r="M98" s="331" t="s">
        <v>289</v>
      </c>
      <c r="N98" s="364"/>
      <c r="O98" s="365"/>
      <c r="P98" s="365"/>
      <c r="Q98" s="365">
        <v>2</v>
      </c>
      <c r="R98" s="365">
        <v>252</v>
      </c>
      <c r="S98" s="366">
        <v>2059</v>
      </c>
      <c r="T98" s="363">
        <f t="shared" ref="T98:T140" si="51">SUM(N98:S98)</f>
        <v>2313</v>
      </c>
      <c r="U98" s="740"/>
      <c r="AP98" s="418" t="s">
        <v>267</v>
      </c>
      <c r="AQ98" s="423"/>
      <c r="AR98" s="340"/>
      <c r="AS98" s="340"/>
      <c r="AT98" s="340"/>
      <c r="AU98" s="368"/>
      <c r="AV98" s="368"/>
      <c r="AW98" s="434">
        <v>1</v>
      </c>
      <c r="AX98" s="435">
        <f t="shared" si="38"/>
        <v>1</v>
      </c>
      <c r="AY98" s="741"/>
    </row>
    <row r="99" spans="1:51" ht="16.5" thickTop="1" thickBot="1" x14ac:dyDescent="0.3">
      <c r="A99" s="111" t="s">
        <v>283</v>
      </c>
      <c r="B99" s="67"/>
      <c r="C99" s="67"/>
      <c r="D99" s="67"/>
      <c r="E99" s="67"/>
      <c r="F99" s="67"/>
      <c r="G99" s="150">
        <v>2</v>
      </c>
      <c r="H99" s="150">
        <v>3</v>
      </c>
      <c r="I99" s="278">
        <f t="shared" si="45"/>
        <v>5</v>
      </c>
      <c r="J99" s="284">
        <f t="shared" si="46"/>
        <v>1.2272950417280314E-3</v>
      </c>
      <c r="K99" s="743"/>
      <c r="M99" s="331" t="s">
        <v>321</v>
      </c>
      <c r="N99" s="364"/>
      <c r="O99" s="365"/>
      <c r="P99" s="365"/>
      <c r="Q99" s="365">
        <v>8</v>
      </c>
      <c r="R99" s="365">
        <v>428</v>
      </c>
      <c r="S99" s="366">
        <v>1144</v>
      </c>
      <c r="T99" s="363">
        <f t="shared" si="51"/>
        <v>1580</v>
      </c>
      <c r="U99" s="740"/>
      <c r="AP99" s="415" t="s">
        <v>321</v>
      </c>
      <c r="AQ99" s="420"/>
      <c r="AR99" s="342"/>
      <c r="AS99" s="342"/>
      <c r="AT99" s="342"/>
      <c r="AU99" s="436">
        <f>SUM(AU100:AU102)</f>
        <v>3</v>
      </c>
      <c r="AV99" s="436">
        <f t="shared" ref="AV99:AW99" si="52">SUM(AV100:AV102)</f>
        <v>0</v>
      </c>
      <c r="AW99" s="437">
        <f t="shared" si="52"/>
        <v>0</v>
      </c>
      <c r="AX99" s="438">
        <f t="shared" si="38"/>
        <v>3</v>
      </c>
      <c r="AY99" s="455"/>
    </row>
    <row r="100" spans="1:51" ht="15.75" thickTop="1" x14ac:dyDescent="0.25">
      <c r="A100" s="111" t="s">
        <v>287</v>
      </c>
      <c r="B100" s="67"/>
      <c r="C100" s="67"/>
      <c r="D100" s="67"/>
      <c r="E100" s="67"/>
      <c r="F100" s="67">
        <v>1</v>
      </c>
      <c r="G100" s="150">
        <v>2</v>
      </c>
      <c r="H100" s="150"/>
      <c r="I100" s="278">
        <f t="shared" si="45"/>
        <v>3</v>
      </c>
      <c r="J100" s="284">
        <f t="shared" si="46"/>
        <v>7.3637702503681884E-4</v>
      </c>
      <c r="K100" s="743"/>
      <c r="M100" s="331" t="s">
        <v>309</v>
      </c>
      <c r="N100" s="364"/>
      <c r="O100" s="365"/>
      <c r="P100" s="365"/>
      <c r="Q100" s="365">
        <v>12</v>
      </c>
      <c r="R100" s="365">
        <v>243</v>
      </c>
      <c r="S100" s="366">
        <v>757</v>
      </c>
      <c r="T100" s="363">
        <f t="shared" si="51"/>
        <v>1012</v>
      </c>
      <c r="U100" s="740"/>
      <c r="AP100" s="419" t="s">
        <v>198</v>
      </c>
      <c r="AQ100" s="425"/>
      <c r="AR100" s="345"/>
      <c r="AS100" s="345"/>
      <c r="AT100" s="345"/>
      <c r="AU100" s="375">
        <v>1</v>
      </c>
      <c r="AV100" s="375"/>
      <c r="AW100" s="442"/>
      <c r="AX100" s="443">
        <f t="shared" si="38"/>
        <v>1</v>
      </c>
      <c r="AY100" s="818">
        <f>AX99/AX22</f>
        <v>5.6211354693648118E-4</v>
      </c>
    </row>
    <row r="101" spans="1:51" ht="15" x14ac:dyDescent="0.25">
      <c r="A101" s="111" t="s">
        <v>277</v>
      </c>
      <c r="B101" s="67"/>
      <c r="C101" s="67"/>
      <c r="D101" s="67"/>
      <c r="E101" s="67"/>
      <c r="F101" s="67"/>
      <c r="G101" s="150"/>
      <c r="H101" s="150">
        <v>2</v>
      </c>
      <c r="I101" s="278">
        <f t="shared" si="45"/>
        <v>2</v>
      </c>
      <c r="J101" s="284">
        <f t="shared" si="46"/>
        <v>4.9091801669121256E-4</v>
      </c>
      <c r="K101" s="743"/>
      <c r="M101" s="331" t="s">
        <v>310</v>
      </c>
      <c r="N101" s="364"/>
      <c r="O101" s="365"/>
      <c r="P101" s="365"/>
      <c r="Q101" s="365">
        <v>3</v>
      </c>
      <c r="R101" s="365">
        <v>186</v>
      </c>
      <c r="S101" s="366">
        <v>678</v>
      </c>
      <c r="T101" s="363">
        <f t="shared" si="51"/>
        <v>867</v>
      </c>
      <c r="U101" s="740"/>
      <c r="AP101" s="417" t="s">
        <v>208</v>
      </c>
      <c r="AQ101" s="422"/>
      <c r="AR101" s="337"/>
      <c r="AS101" s="337"/>
      <c r="AT101" s="337"/>
      <c r="AU101" s="365">
        <v>1</v>
      </c>
      <c r="AV101" s="365"/>
      <c r="AW101" s="432"/>
      <c r="AX101" s="433">
        <f t="shared" si="38"/>
        <v>1</v>
      </c>
      <c r="AY101" s="819"/>
    </row>
    <row r="102" spans="1:51" ht="15.75" thickBot="1" x14ac:dyDescent="0.3">
      <c r="A102" s="111" t="s">
        <v>282</v>
      </c>
      <c r="B102" s="67"/>
      <c r="C102" s="67"/>
      <c r="D102" s="67"/>
      <c r="E102" s="67"/>
      <c r="F102" s="67"/>
      <c r="G102" s="150">
        <v>1</v>
      </c>
      <c r="H102" s="150">
        <v>1</v>
      </c>
      <c r="I102" s="278">
        <f t="shared" si="45"/>
        <v>2</v>
      </c>
      <c r="J102" s="284">
        <f t="shared" si="46"/>
        <v>4.9091801669121256E-4</v>
      </c>
      <c r="K102" s="743"/>
      <c r="M102" s="331" t="s">
        <v>303</v>
      </c>
      <c r="N102" s="364">
        <v>1</v>
      </c>
      <c r="O102" s="365"/>
      <c r="P102" s="365"/>
      <c r="Q102" s="365">
        <v>3</v>
      </c>
      <c r="R102" s="365">
        <v>220</v>
      </c>
      <c r="S102" s="366">
        <v>575</v>
      </c>
      <c r="T102" s="363">
        <f t="shared" si="51"/>
        <v>799</v>
      </c>
      <c r="U102" s="740"/>
      <c r="AP102" s="418" t="s">
        <v>201</v>
      </c>
      <c r="AQ102" s="423"/>
      <c r="AR102" s="340"/>
      <c r="AS102" s="340"/>
      <c r="AT102" s="340"/>
      <c r="AU102" s="368">
        <v>1</v>
      </c>
      <c r="AV102" s="368"/>
      <c r="AW102" s="434"/>
      <c r="AX102" s="435">
        <f t="shared" si="38"/>
        <v>1</v>
      </c>
      <c r="AY102" s="820"/>
    </row>
    <row r="103" spans="1:51" ht="16.5" thickTop="1" thickBot="1" x14ac:dyDescent="0.3">
      <c r="A103" s="826" t="s">
        <v>294</v>
      </c>
      <c r="B103" s="68"/>
      <c r="C103" s="68"/>
      <c r="D103" s="68"/>
      <c r="E103" s="68"/>
      <c r="F103" s="68"/>
      <c r="G103" s="827">
        <v>2</v>
      </c>
      <c r="H103" s="827"/>
      <c r="I103" s="838">
        <f t="shared" si="45"/>
        <v>2</v>
      </c>
      <c r="J103" s="285">
        <f t="shared" si="46"/>
        <v>4.9091801669121256E-4</v>
      </c>
      <c r="K103" s="750"/>
      <c r="M103" s="331" t="s">
        <v>308</v>
      </c>
      <c r="N103" s="364"/>
      <c r="O103" s="365"/>
      <c r="P103" s="365"/>
      <c r="Q103" s="365">
        <v>20</v>
      </c>
      <c r="R103" s="365">
        <v>211</v>
      </c>
      <c r="S103" s="366">
        <v>459</v>
      </c>
      <c r="T103" s="363">
        <f t="shared" si="51"/>
        <v>690</v>
      </c>
      <c r="U103" s="740"/>
      <c r="AP103" s="415" t="s">
        <v>303</v>
      </c>
      <c r="AQ103" s="420"/>
      <c r="AR103" s="342"/>
      <c r="AS103" s="342"/>
      <c r="AT103" s="342"/>
      <c r="AU103" s="436">
        <f>AU104+AU105</f>
        <v>1</v>
      </c>
      <c r="AV103" s="436">
        <f t="shared" ref="AV103:AW103" si="53">AV104+AV105</f>
        <v>0</v>
      </c>
      <c r="AW103" s="437">
        <f t="shared" si="53"/>
        <v>2</v>
      </c>
      <c r="AX103" s="438">
        <f t="shared" si="38"/>
        <v>3</v>
      </c>
      <c r="AY103" s="455"/>
    </row>
    <row r="104" spans="1:51" ht="16.5" thickTop="1" thickBot="1" x14ac:dyDescent="0.3">
      <c r="A104" s="286" t="s">
        <v>216</v>
      </c>
      <c r="B104" s="850">
        <f t="shared" ref="B104:H104" si="54">SUM(B105:B114)</f>
        <v>0</v>
      </c>
      <c r="C104" s="850">
        <f t="shared" si="54"/>
        <v>0</v>
      </c>
      <c r="D104" s="850">
        <f t="shared" si="54"/>
        <v>0</v>
      </c>
      <c r="E104" s="850">
        <f t="shared" si="54"/>
        <v>0</v>
      </c>
      <c r="F104" s="850">
        <f t="shared" si="54"/>
        <v>69</v>
      </c>
      <c r="G104" s="850">
        <f t="shared" si="54"/>
        <v>290</v>
      </c>
      <c r="H104" s="850">
        <f t="shared" si="54"/>
        <v>663</v>
      </c>
      <c r="I104" s="287">
        <f>SUM(I105:I114)</f>
        <v>1022</v>
      </c>
      <c r="K104" s="229"/>
      <c r="M104" s="331" t="s">
        <v>280</v>
      </c>
      <c r="N104" s="364"/>
      <c r="O104" s="365"/>
      <c r="P104" s="365"/>
      <c r="Q104" s="365">
        <v>3</v>
      </c>
      <c r="R104" s="365">
        <v>196</v>
      </c>
      <c r="S104" s="366">
        <v>449</v>
      </c>
      <c r="T104" s="363">
        <f t="shared" si="51"/>
        <v>648</v>
      </c>
      <c r="U104" s="740"/>
      <c r="AP104" s="419" t="s">
        <v>270</v>
      </c>
      <c r="AQ104" s="425"/>
      <c r="AR104" s="345"/>
      <c r="AS104" s="345"/>
      <c r="AT104" s="345"/>
      <c r="AU104" s="375"/>
      <c r="AV104" s="375"/>
      <c r="AW104" s="442">
        <v>2</v>
      </c>
      <c r="AX104" s="443">
        <f t="shared" si="38"/>
        <v>2</v>
      </c>
      <c r="AY104" s="818">
        <f>AX103/AX22</f>
        <v>5.6211354693648118E-4</v>
      </c>
    </row>
    <row r="105" spans="1:51" ht="16.5" thickTop="1" thickBot="1" x14ac:dyDescent="0.3">
      <c r="A105" s="110" t="s">
        <v>298</v>
      </c>
      <c r="B105" s="823"/>
      <c r="C105" s="823"/>
      <c r="D105" s="823"/>
      <c r="E105" s="823"/>
      <c r="F105" s="823">
        <v>51</v>
      </c>
      <c r="G105" s="823">
        <v>156</v>
      </c>
      <c r="H105" s="824">
        <v>261</v>
      </c>
      <c r="I105" s="825">
        <f>SUM(F105:H105)</f>
        <v>468</v>
      </c>
      <c r="J105" s="283">
        <f>I105/$I$104</f>
        <v>0.45792563600782776</v>
      </c>
      <c r="K105" s="742">
        <f>I104/I115</f>
        <v>1.4848392392741432E-2</v>
      </c>
      <c r="M105" s="331" t="s">
        <v>322</v>
      </c>
      <c r="N105" s="364"/>
      <c r="O105" s="365"/>
      <c r="P105" s="365"/>
      <c r="Q105" s="365">
        <v>1</v>
      </c>
      <c r="R105" s="365">
        <v>63</v>
      </c>
      <c r="S105" s="366">
        <v>499</v>
      </c>
      <c r="T105" s="363">
        <f t="shared" si="51"/>
        <v>563</v>
      </c>
      <c r="U105" s="740"/>
      <c r="AP105" s="418" t="s">
        <v>264</v>
      </c>
      <c r="AQ105" s="423"/>
      <c r="AR105" s="340"/>
      <c r="AS105" s="340"/>
      <c r="AT105" s="340"/>
      <c r="AU105" s="368">
        <v>1</v>
      </c>
      <c r="AV105" s="368"/>
      <c r="AW105" s="434"/>
      <c r="AX105" s="435">
        <f t="shared" si="38"/>
        <v>1</v>
      </c>
      <c r="AY105" s="820"/>
    </row>
    <row r="106" spans="1:51" ht="16.5" thickTop="1" thickBot="1" x14ac:dyDescent="0.3">
      <c r="A106" s="111" t="s">
        <v>312</v>
      </c>
      <c r="B106" s="150"/>
      <c r="C106" s="150"/>
      <c r="D106" s="150"/>
      <c r="E106" s="150"/>
      <c r="F106" s="150">
        <v>6</v>
      </c>
      <c r="G106" s="150">
        <v>115</v>
      </c>
      <c r="H106" s="151">
        <v>262</v>
      </c>
      <c r="I106" s="275">
        <f t="shared" ref="I106:I111" si="55">SUM(F106:H106)</f>
        <v>383</v>
      </c>
      <c r="J106" s="284">
        <f>I106/$I$104</f>
        <v>0.37475538160469668</v>
      </c>
      <c r="K106" s="743"/>
      <c r="M106" s="331" t="s">
        <v>278</v>
      </c>
      <c r="N106" s="364"/>
      <c r="O106" s="365"/>
      <c r="P106" s="365"/>
      <c r="Q106" s="365">
        <v>1</v>
      </c>
      <c r="R106" s="365">
        <v>246</v>
      </c>
      <c r="S106" s="366">
        <v>295</v>
      </c>
      <c r="T106" s="363">
        <f t="shared" si="51"/>
        <v>542</v>
      </c>
      <c r="U106" s="740"/>
      <c r="AP106" s="415" t="s">
        <v>74</v>
      </c>
      <c r="AQ106" s="427"/>
      <c r="AR106" s="334"/>
      <c r="AS106" s="334"/>
      <c r="AT106" s="334"/>
      <c r="AU106" s="371">
        <f>AU103+AU99+AU96+AU85+AU82+AU58+AU54+AU52+AU23</f>
        <v>103</v>
      </c>
      <c r="AV106" s="371">
        <f t="shared" ref="AV106:AW106" si="56">AV103+AV99+AV96+AV85+AV82+AV58+AV54+AV52+AV23</f>
        <v>1639</v>
      </c>
      <c r="AW106" s="428">
        <f t="shared" si="56"/>
        <v>3595</v>
      </c>
      <c r="AX106" s="429">
        <f t="shared" si="38"/>
        <v>5337</v>
      </c>
    </row>
    <row r="107" spans="1:51" ht="15.75" thickTop="1" x14ac:dyDescent="0.25">
      <c r="A107" s="111" t="s">
        <v>299</v>
      </c>
      <c r="B107" s="150"/>
      <c r="C107" s="150"/>
      <c r="D107" s="150"/>
      <c r="E107" s="150"/>
      <c r="F107" s="150">
        <v>1</v>
      </c>
      <c r="G107" s="150"/>
      <c r="H107" s="151">
        <v>72</v>
      </c>
      <c r="I107" s="275">
        <f t="shared" si="55"/>
        <v>73</v>
      </c>
      <c r="J107" s="284">
        <f>I107/$I$104</f>
        <v>7.1428571428571425E-2</v>
      </c>
      <c r="K107" s="743"/>
      <c r="M107" s="331" t="s">
        <v>298</v>
      </c>
      <c r="N107" s="364"/>
      <c r="O107" s="365"/>
      <c r="P107" s="365"/>
      <c r="Q107" s="365"/>
      <c r="R107" s="365">
        <v>3</v>
      </c>
      <c r="S107" s="366">
        <v>439</v>
      </c>
      <c r="T107" s="363">
        <f t="shared" si="51"/>
        <v>442</v>
      </c>
      <c r="U107" s="740"/>
    </row>
    <row r="108" spans="1:51" ht="15" x14ac:dyDescent="0.25">
      <c r="A108" s="111" t="s">
        <v>314</v>
      </c>
      <c r="B108" s="150"/>
      <c r="C108" s="150"/>
      <c r="D108" s="150"/>
      <c r="E108" s="150"/>
      <c r="F108" s="150">
        <v>5</v>
      </c>
      <c r="G108" s="150">
        <v>13</v>
      </c>
      <c r="H108" s="151">
        <v>32</v>
      </c>
      <c r="I108" s="275">
        <f t="shared" si="55"/>
        <v>50</v>
      </c>
      <c r="J108" s="284">
        <f>I108/$I$104</f>
        <v>4.8923679060665359E-2</v>
      </c>
      <c r="K108" s="743"/>
      <c r="M108" s="331" t="s">
        <v>305</v>
      </c>
      <c r="N108" s="364"/>
      <c r="O108" s="365"/>
      <c r="P108" s="365"/>
      <c r="Q108" s="365">
        <v>3</v>
      </c>
      <c r="R108" s="365">
        <v>115</v>
      </c>
      <c r="S108" s="366">
        <v>301</v>
      </c>
      <c r="T108" s="363">
        <f t="shared" si="51"/>
        <v>419</v>
      </c>
      <c r="U108" s="740"/>
    </row>
    <row r="109" spans="1:51" ht="15" x14ac:dyDescent="0.25">
      <c r="A109" s="111" t="s">
        <v>311</v>
      </c>
      <c r="B109" s="150"/>
      <c r="C109" s="150"/>
      <c r="D109" s="150"/>
      <c r="E109" s="150"/>
      <c r="F109" s="150">
        <v>1</v>
      </c>
      <c r="G109" s="150"/>
      <c r="H109" s="151">
        <v>23</v>
      </c>
      <c r="I109" s="275">
        <f t="shared" si="55"/>
        <v>24</v>
      </c>
      <c r="J109" s="284">
        <f>I109/$I$104</f>
        <v>2.3483365949119372E-2</v>
      </c>
      <c r="K109" s="743"/>
      <c r="M109" s="331" t="s">
        <v>296</v>
      </c>
      <c r="N109" s="364"/>
      <c r="O109" s="365"/>
      <c r="P109" s="365"/>
      <c r="Q109" s="365"/>
      <c r="R109" s="365">
        <v>143</v>
      </c>
      <c r="S109" s="366">
        <v>247</v>
      </c>
      <c r="T109" s="363">
        <f t="shared" si="51"/>
        <v>390</v>
      </c>
      <c r="U109" s="740"/>
    </row>
    <row r="110" spans="1:51" ht="15" x14ac:dyDescent="0.25">
      <c r="A110" s="111" t="s">
        <v>315</v>
      </c>
      <c r="B110" s="150"/>
      <c r="C110" s="150"/>
      <c r="D110" s="150"/>
      <c r="E110" s="150"/>
      <c r="F110" s="150">
        <v>5</v>
      </c>
      <c r="G110" s="150"/>
      <c r="H110" s="151">
        <v>5</v>
      </c>
      <c r="I110" s="275">
        <f t="shared" si="55"/>
        <v>10</v>
      </c>
      <c r="J110" s="284">
        <f>I110/$I$104</f>
        <v>9.7847358121330719E-3</v>
      </c>
      <c r="K110" s="743"/>
      <c r="M110" s="331" t="s">
        <v>311</v>
      </c>
      <c r="N110" s="364"/>
      <c r="O110" s="365"/>
      <c r="P110" s="365"/>
      <c r="Q110" s="365"/>
      <c r="R110" s="365">
        <v>167</v>
      </c>
      <c r="S110" s="366">
        <v>179</v>
      </c>
      <c r="T110" s="363">
        <f t="shared" si="51"/>
        <v>346</v>
      </c>
      <c r="U110" s="740"/>
    </row>
    <row r="111" spans="1:51" ht="15" x14ac:dyDescent="0.25">
      <c r="A111" s="111" t="s">
        <v>305</v>
      </c>
      <c r="B111" s="150"/>
      <c r="C111" s="150"/>
      <c r="D111" s="150"/>
      <c r="E111" s="150"/>
      <c r="F111" s="150"/>
      <c r="G111" s="150">
        <v>5</v>
      </c>
      <c r="H111" s="151">
        <v>2</v>
      </c>
      <c r="I111" s="275">
        <f t="shared" si="55"/>
        <v>7</v>
      </c>
      <c r="J111" s="284">
        <f>I111/$I$104</f>
        <v>6.8493150684931503E-3</v>
      </c>
      <c r="K111" s="743"/>
      <c r="M111" s="331" t="s">
        <v>317</v>
      </c>
      <c r="N111" s="364"/>
      <c r="O111" s="365"/>
      <c r="P111" s="365"/>
      <c r="Q111" s="365">
        <v>5</v>
      </c>
      <c r="R111" s="365">
        <v>117</v>
      </c>
      <c r="S111" s="366">
        <v>139</v>
      </c>
      <c r="T111" s="363">
        <f t="shared" si="51"/>
        <v>261</v>
      </c>
      <c r="U111" s="740"/>
    </row>
    <row r="112" spans="1:51" ht="15" x14ac:dyDescent="0.25">
      <c r="A112" s="111" t="s">
        <v>442</v>
      </c>
      <c r="B112" s="150"/>
      <c r="C112" s="150"/>
      <c r="D112" s="150"/>
      <c r="E112" s="150"/>
      <c r="F112" s="150"/>
      <c r="G112" s="150"/>
      <c r="H112" s="151">
        <v>5</v>
      </c>
      <c r="I112" s="275">
        <f t="shared" ref="I112:I114" si="57">SUM(F112:H112)</f>
        <v>5</v>
      </c>
      <c r="J112" s="284">
        <f t="shared" ref="J112:J114" si="58">I112/$I$104</f>
        <v>4.8923679060665359E-3</v>
      </c>
      <c r="K112" s="743"/>
      <c r="M112" s="331" t="s">
        <v>299</v>
      </c>
      <c r="N112" s="364"/>
      <c r="O112" s="365"/>
      <c r="P112" s="365"/>
      <c r="Q112" s="365"/>
      <c r="R112" s="365"/>
      <c r="S112" s="366">
        <v>222</v>
      </c>
      <c r="T112" s="363">
        <f t="shared" si="51"/>
        <v>222</v>
      </c>
      <c r="U112" s="740"/>
    </row>
    <row r="113" spans="1:21" ht="15" x14ac:dyDescent="0.25">
      <c r="A113" s="111" t="s">
        <v>285</v>
      </c>
      <c r="B113" s="150"/>
      <c r="C113" s="150"/>
      <c r="D113" s="150"/>
      <c r="E113" s="150"/>
      <c r="F113" s="150"/>
      <c r="G113" s="150">
        <v>1</v>
      </c>
      <c r="H113" s="151"/>
      <c r="I113" s="275">
        <f t="shared" si="57"/>
        <v>1</v>
      </c>
      <c r="J113" s="284">
        <f t="shared" si="58"/>
        <v>9.7847358121330719E-4</v>
      </c>
      <c r="K113" s="743"/>
      <c r="M113" s="331" t="s">
        <v>316</v>
      </c>
      <c r="N113" s="364"/>
      <c r="O113" s="365"/>
      <c r="P113" s="365"/>
      <c r="Q113" s="365">
        <v>2</v>
      </c>
      <c r="R113" s="365">
        <v>57</v>
      </c>
      <c r="S113" s="366">
        <v>159</v>
      </c>
      <c r="T113" s="363">
        <f t="shared" si="51"/>
        <v>218</v>
      </c>
      <c r="U113" s="740"/>
    </row>
    <row r="114" spans="1:21" ht="15.75" thickBot="1" x14ac:dyDescent="0.3">
      <c r="A114" s="826" t="s">
        <v>277</v>
      </c>
      <c r="B114" s="827"/>
      <c r="C114" s="827"/>
      <c r="D114" s="827"/>
      <c r="E114" s="827"/>
      <c r="F114" s="827"/>
      <c r="G114" s="827"/>
      <c r="H114" s="828">
        <v>1</v>
      </c>
      <c r="I114" s="829">
        <f t="shared" si="57"/>
        <v>1</v>
      </c>
      <c r="J114" s="285">
        <f t="shared" si="58"/>
        <v>9.7847358121330719E-4</v>
      </c>
      <c r="K114" s="750"/>
      <c r="M114" s="331" t="s">
        <v>324</v>
      </c>
      <c r="N114" s="364"/>
      <c r="O114" s="365"/>
      <c r="P114" s="365"/>
      <c r="Q114" s="365"/>
      <c r="R114" s="365">
        <v>25</v>
      </c>
      <c r="S114" s="366">
        <v>153</v>
      </c>
      <c r="T114" s="363">
        <f t="shared" si="51"/>
        <v>178</v>
      </c>
      <c r="U114" s="740"/>
    </row>
    <row r="115" spans="1:21" ht="20.25" thickTop="1" thickBot="1" x14ac:dyDescent="0.35">
      <c r="A115" s="821" t="s">
        <v>74</v>
      </c>
      <c r="B115" s="822"/>
      <c r="C115" s="822">
        <f>C104+C83+C73+C22</f>
        <v>2</v>
      </c>
      <c r="D115" s="822">
        <f t="shared" ref="D115:I115" si="59">D104+D83+D73+D22</f>
        <v>1</v>
      </c>
      <c r="E115" s="822">
        <f t="shared" si="59"/>
        <v>0</v>
      </c>
      <c r="F115" s="822">
        <f t="shared" si="59"/>
        <v>1711</v>
      </c>
      <c r="G115" s="822">
        <f t="shared" si="59"/>
        <v>24017</v>
      </c>
      <c r="H115" s="822">
        <f t="shared" si="59"/>
        <v>43098</v>
      </c>
      <c r="I115" s="822">
        <f t="shared" si="59"/>
        <v>68829</v>
      </c>
      <c r="J115" s="108"/>
      <c r="M115" s="331" t="s">
        <v>287</v>
      </c>
      <c r="N115" s="364"/>
      <c r="O115" s="365">
        <v>1</v>
      </c>
      <c r="P115" s="365"/>
      <c r="Q115" s="365">
        <v>2</v>
      </c>
      <c r="R115" s="365">
        <v>69</v>
      </c>
      <c r="S115" s="366">
        <v>63</v>
      </c>
      <c r="T115" s="363">
        <f t="shared" si="51"/>
        <v>135</v>
      </c>
      <c r="U115" s="740"/>
    </row>
    <row r="116" spans="1:21" ht="19.5" thickTop="1" x14ac:dyDescent="0.3">
      <c r="M116" s="331" t="s">
        <v>291</v>
      </c>
      <c r="N116" s="364"/>
      <c r="O116" s="365"/>
      <c r="P116" s="365"/>
      <c r="Q116" s="365"/>
      <c r="R116" s="365">
        <v>23</v>
      </c>
      <c r="S116" s="366">
        <v>108</v>
      </c>
      <c r="T116" s="363">
        <f t="shared" si="51"/>
        <v>131</v>
      </c>
      <c r="U116" s="740"/>
    </row>
    <row r="117" spans="1:21" x14ac:dyDescent="0.3">
      <c r="M117" s="331" t="s">
        <v>319</v>
      </c>
      <c r="N117" s="364"/>
      <c r="O117" s="365"/>
      <c r="P117" s="365"/>
      <c r="Q117" s="365"/>
      <c r="R117" s="365">
        <v>51</v>
      </c>
      <c r="S117" s="366">
        <v>59</v>
      </c>
      <c r="T117" s="363">
        <f t="shared" si="51"/>
        <v>110</v>
      </c>
      <c r="U117" s="740"/>
    </row>
    <row r="118" spans="1:21" x14ac:dyDescent="0.3">
      <c r="M118" s="331" t="s">
        <v>285</v>
      </c>
      <c r="N118" s="364"/>
      <c r="O118" s="365"/>
      <c r="P118" s="365"/>
      <c r="Q118" s="365">
        <v>4</v>
      </c>
      <c r="R118" s="365">
        <v>37</v>
      </c>
      <c r="S118" s="366">
        <v>69</v>
      </c>
      <c r="T118" s="363">
        <f t="shared" si="51"/>
        <v>110</v>
      </c>
      <c r="U118" s="740"/>
    </row>
    <row r="119" spans="1:21" x14ac:dyDescent="0.3">
      <c r="M119" s="331" t="s">
        <v>315</v>
      </c>
      <c r="N119" s="364"/>
      <c r="O119" s="365"/>
      <c r="P119" s="365"/>
      <c r="Q119" s="365"/>
      <c r="R119" s="365">
        <v>51</v>
      </c>
      <c r="S119" s="366">
        <v>54</v>
      </c>
      <c r="T119" s="363">
        <f t="shared" si="51"/>
        <v>105</v>
      </c>
      <c r="U119" s="740"/>
    </row>
    <row r="120" spans="1:21" x14ac:dyDescent="0.3">
      <c r="M120" s="331" t="s">
        <v>279</v>
      </c>
      <c r="N120" s="364"/>
      <c r="O120" s="365"/>
      <c r="P120" s="365"/>
      <c r="Q120" s="365"/>
      <c r="R120" s="365">
        <v>3</v>
      </c>
      <c r="S120" s="366">
        <v>96</v>
      </c>
      <c r="T120" s="363">
        <f t="shared" si="51"/>
        <v>99</v>
      </c>
      <c r="U120" s="740"/>
    </row>
    <row r="121" spans="1:21" x14ac:dyDescent="0.3">
      <c r="M121" s="331" t="s">
        <v>294</v>
      </c>
      <c r="N121" s="364"/>
      <c r="O121" s="365"/>
      <c r="P121" s="365"/>
      <c r="Q121" s="365"/>
      <c r="R121" s="365">
        <v>13</v>
      </c>
      <c r="S121" s="366">
        <v>77</v>
      </c>
      <c r="T121" s="363">
        <f t="shared" si="51"/>
        <v>90</v>
      </c>
      <c r="U121" s="740"/>
    </row>
    <row r="122" spans="1:21" x14ac:dyDescent="0.3">
      <c r="M122" s="331" t="s">
        <v>306</v>
      </c>
      <c r="N122" s="364"/>
      <c r="O122" s="365"/>
      <c r="P122" s="365"/>
      <c r="Q122" s="365">
        <v>2</v>
      </c>
      <c r="R122" s="365">
        <v>43</v>
      </c>
      <c r="S122" s="366">
        <v>44</v>
      </c>
      <c r="T122" s="363">
        <f t="shared" si="51"/>
        <v>89</v>
      </c>
      <c r="U122" s="740"/>
    </row>
    <row r="123" spans="1:21" x14ac:dyDescent="0.3">
      <c r="M123" s="331" t="s">
        <v>304</v>
      </c>
      <c r="N123" s="364"/>
      <c r="O123" s="365"/>
      <c r="P123" s="365"/>
      <c r="Q123" s="365"/>
      <c r="R123" s="365">
        <v>10</v>
      </c>
      <c r="S123" s="366">
        <v>77</v>
      </c>
      <c r="T123" s="363">
        <f t="shared" si="51"/>
        <v>87</v>
      </c>
      <c r="U123" s="740"/>
    </row>
    <row r="124" spans="1:21" x14ac:dyDescent="0.3">
      <c r="M124" s="331" t="s">
        <v>325</v>
      </c>
      <c r="N124" s="364"/>
      <c r="O124" s="365"/>
      <c r="P124" s="365"/>
      <c r="Q124" s="365"/>
      <c r="R124" s="365">
        <v>6</v>
      </c>
      <c r="S124" s="366">
        <v>67</v>
      </c>
      <c r="T124" s="363">
        <f t="shared" si="51"/>
        <v>73</v>
      </c>
      <c r="U124" s="740"/>
    </row>
    <row r="125" spans="1:21" x14ac:dyDescent="0.3">
      <c r="M125" s="331" t="s">
        <v>297</v>
      </c>
      <c r="N125" s="364"/>
      <c r="O125" s="365"/>
      <c r="P125" s="365"/>
      <c r="Q125" s="365"/>
      <c r="R125" s="365">
        <v>1</v>
      </c>
      <c r="S125" s="366">
        <v>67</v>
      </c>
      <c r="T125" s="363">
        <f t="shared" si="51"/>
        <v>68</v>
      </c>
      <c r="U125" s="740"/>
    </row>
    <row r="126" spans="1:21" x14ac:dyDescent="0.3">
      <c r="M126" s="331" t="s">
        <v>290</v>
      </c>
      <c r="N126" s="364"/>
      <c r="O126" s="365"/>
      <c r="P126" s="365"/>
      <c r="Q126" s="365"/>
      <c r="R126" s="365"/>
      <c r="S126" s="366">
        <v>55</v>
      </c>
      <c r="T126" s="363">
        <f t="shared" si="51"/>
        <v>55</v>
      </c>
      <c r="U126" s="740"/>
    </row>
    <row r="127" spans="1:21" x14ac:dyDescent="0.3">
      <c r="M127" s="331" t="s">
        <v>292</v>
      </c>
      <c r="N127" s="364"/>
      <c r="O127" s="365"/>
      <c r="P127" s="365"/>
      <c r="Q127" s="365"/>
      <c r="R127" s="365">
        <v>7</v>
      </c>
      <c r="S127" s="366">
        <v>41</v>
      </c>
      <c r="T127" s="363">
        <f t="shared" si="51"/>
        <v>48</v>
      </c>
      <c r="U127" s="740"/>
    </row>
    <row r="128" spans="1:21" x14ac:dyDescent="0.3">
      <c r="M128" s="331" t="s">
        <v>283</v>
      </c>
      <c r="N128" s="364"/>
      <c r="O128" s="365"/>
      <c r="P128" s="365"/>
      <c r="Q128" s="365"/>
      <c r="R128" s="365">
        <v>11</v>
      </c>
      <c r="S128" s="366">
        <v>24</v>
      </c>
      <c r="T128" s="363">
        <f t="shared" si="51"/>
        <v>35</v>
      </c>
      <c r="U128" s="740"/>
    </row>
    <row r="129" spans="13:21" x14ac:dyDescent="0.3">
      <c r="M129" s="331" t="s">
        <v>376</v>
      </c>
      <c r="N129" s="364"/>
      <c r="O129" s="365"/>
      <c r="P129" s="365"/>
      <c r="Q129" s="365"/>
      <c r="R129" s="365"/>
      <c r="S129" s="366">
        <v>34</v>
      </c>
      <c r="T129" s="363">
        <f t="shared" si="51"/>
        <v>34</v>
      </c>
      <c r="U129" s="740"/>
    </row>
    <row r="130" spans="13:21" x14ac:dyDescent="0.3">
      <c r="M130" s="331" t="s">
        <v>295</v>
      </c>
      <c r="N130" s="364"/>
      <c r="O130" s="365"/>
      <c r="P130" s="365"/>
      <c r="Q130" s="365"/>
      <c r="R130" s="365">
        <v>4</v>
      </c>
      <c r="S130" s="366">
        <v>21</v>
      </c>
      <c r="T130" s="363">
        <f t="shared" si="51"/>
        <v>25</v>
      </c>
      <c r="U130" s="740"/>
    </row>
    <row r="131" spans="13:21" x14ac:dyDescent="0.3">
      <c r="M131" s="331" t="s">
        <v>307</v>
      </c>
      <c r="N131" s="364"/>
      <c r="O131" s="365"/>
      <c r="P131" s="365"/>
      <c r="Q131" s="365">
        <v>1</v>
      </c>
      <c r="R131" s="365">
        <v>1</v>
      </c>
      <c r="S131" s="366">
        <v>21</v>
      </c>
      <c r="T131" s="363">
        <f t="shared" si="51"/>
        <v>23</v>
      </c>
      <c r="U131" s="740"/>
    </row>
    <row r="132" spans="13:21" x14ac:dyDescent="0.3">
      <c r="M132" s="331" t="s">
        <v>320</v>
      </c>
      <c r="N132" s="364"/>
      <c r="O132" s="365"/>
      <c r="P132" s="365"/>
      <c r="Q132" s="365"/>
      <c r="R132" s="365"/>
      <c r="S132" s="366">
        <v>19</v>
      </c>
      <c r="T132" s="363">
        <f t="shared" si="51"/>
        <v>19</v>
      </c>
      <c r="U132" s="740"/>
    </row>
    <row r="133" spans="13:21" x14ac:dyDescent="0.3">
      <c r="M133" s="331" t="s">
        <v>288</v>
      </c>
      <c r="N133" s="364"/>
      <c r="O133" s="365"/>
      <c r="P133" s="365"/>
      <c r="Q133" s="365"/>
      <c r="R133" s="365">
        <v>2</v>
      </c>
      <c r="S133" s="366">
        <v>6</v>
      </c>
      <c r="T133" s="363">
        <f t="shared" si="51"/>
        <v>8</v>
      </c>
      <c r="U133" s="740"/>
    </row>
    <row r="134" spans="13:21" x14ac:dyDescent="0.3">
      <c r="M134" s="331" t="s">
        <v>300</v>
      </c>
      <c r="N134" s="364"/>
      <c r="O134" s="365"/>
      <c r="P134" s="365"/>
      <c r="Q134" s="365"/>
      <c r="R134" s="365"/>
      <c r="S134" s="366">
        <v>6</v>
      </c>
      <c r="T134" s="363">
        <f t="shared" si="51"/>
        <v>6</v>
      </c>
      <c r="U134" s="740"/>
    </row>
    <row r="135" spans="13:21" x14ac:dyDescent="0.3">
      <c r="M135" s="331" t="s">
        <v>286</v>
      </c>
      <c r="N135" s="364"/>
      <c r="O135" s="365"/>
      <c r="P135" s="365"/>
      <c r="Q135" s="365"/>
      <c r="R135" s="365">
        <v>2</v>
      </c>
      <c r="S135" s="366">
        <v>2</v>
      </c>
      <c r="T135" s="363">
        <f t="shared" si="51"/>
        <v>4</v>
      </c>
      <c r="U135" s="740"/>
    </row>
    <row r="136" spans="13:21" x14ac:dyDescent="0.3">
      <c r="M136" s="331" t="s">
        <v>293</v>
      </c>
      <c r="N136" s="364"/>
      <c r="O136" s="365"/>
      <c r="P136" s="365"/>
      <c r="Q136" s="365"/>
      <c r="R136" s="365">
        <v>2</v>
      </c>
      <c r="S136" s="366">
        <v>2</v>
      </c>
      <c r="T136" s="363">
        <f t="shared" si="51"/>
        <v>4</v>
      </c>
      <c r="U136" s="740"/>
    </row>
    <row r="137" spans="13:21" x14ac:dyDescent="0.3">
      <c r="M137" s="331" t="s">
        <v>312</v>
      </c>
      <c r="N137" s="364"/>
      <c r="O137" s="365"/>
      <c r="P137" s="365"/>
      <c r="Q137" s="365"/>
      <c r="R137" s="365"/>
      <c r="S137" s="366">
        <v>2</v>
      </c>
      <c r="T137" s="363">
        <f t="shared" si="51"/>
        <v>2</v>
      </c>
      <c r="U137" s="740"/>
    </row>
    <row r="138" spans="13:21" x14ac:dyDescent="0.3">
      <c r="M138" s="331" t="s">
        <v>301</v>
      </c>
      <c r="N138" s="364"/>
      <c r="O138" s="365"/>
      <c r="P138" s="365"/>
      <c r="Q138" s="365"/>
      <c r="R138" s="365">
        <v>1</v>
      </c>
      <c r="S138" s="366">
        <v>1</v>
      </c>
      <c r="T138" s="363">
        <f t="shared" si="51"/>
        <v>2</v>
      </c>
      <c r="U138" s="740"/>
    </row>
    <row r="139" spans="13:21" x14ac:dyDescent="0.3">
      <c r="M139" s="331" t="s">
        <v>282</v>
      </c>
      <c r="N139" s="364"/>
      <c r="O139" s="365"/>
      <c r="P139" s="365"/>
      <c r="Q139" s="365"/>
      <c r="R139" s="365">
        <v>1</v>
      </c>
      <c r="S139" s="366">
        <v>1</v>
      </c>
      <c r="T139" s="363">
        <f t="shared" si="51"/>
        <v>2</v>
      </c>
      <c r="U139" s="740"/>
    </row>
    <row r="140" spans="13:21" ht="19.5" thickBot="1" x14ac:dyDescent="0.35">
      <c r="M140" s="803" t="s">
        <v>314</v>
      </c>
      <c r="N140" s="857"/>
      <c r="O140" s="814"/>
      <c r="P140" s="814"/>
      <c r="Q140" s="814"/>
      <c r="R140" s="814"/>
      <c r="S140" s="858">
        <v>1</v>
      </c>
      <c r="T140" s="859">
        <f t="shared" si="51"/>
        <v>1</v>
      </c>
      <c r="U140" s="741"/>
    </row>
    <row r="141" spans="13:21" ht="19.5" thickTop="1" x14ac:dyDescent="0.3"/>
  </sheetData>
  <mergeCells count="26">
    <mergeCell ref="AY24:AY51"/>
    <mergeCell ref="AY55:AY57"/>
    <mergeCell ref="AY59:AY81"/>
    <mergeCell ref="AY83:AY84"/>
    <mergeCell ref="AY86:AY95"/>
    <mergeCell ref="AY97:AY98"/>
    <mergeCell ref="AY100:AY102"/>
    <mergeCell ref="AY104:AY105"/>
    <mergeCell ref="K84:K103"/>
    <mergeCell ref="U24:U63"/>
    <mergeCell ref="U65:U95"/>
    <mergeCell ref="U97:U140"/>
    <mergeCell ref="K105:K114"/>
    <mergeCell ref="AE23:AE43"/>
    <mergeCell ref="K23:K72"/>
    <mergeCell ref="K74:K82"/>
    <mergeCell ref="AN34:AN35"/>
    <mergeCell ref="AN37:AN38"/>
    <mergeCell ref="AN40:AN42"/>
    <mergeCell ref="AN44:AN45"/>
    <mergeCell ref="AN24:AN32"/>
    <mergeCell ref="A6:I6"/>
    <mergeCell ref="M6:T6"/>
    <mergeCell ref="W6:AD6"/>
    <mergeCell ref="AG6:AM6"/>
    <mergeCell ref="AP6:AX6"/>
  </mergeCells>
  <pageMargins left="0.7" right="0.7" top="0.75" bottom="0.75" header="0.3" footer="0.3"/>
  <pageSetup orientation="portrait" verticalDpi="0" r:id="rId1"/>
  <ignoredErrors>
    <ignoredError sqref="AY9 AY10:AY15 AN9:AN15 AE9:AE15 U11:U15 J9:J15 U9:U10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68A26-188E-402A-BC00-2F99D0CB06CD}">
  <sheetPr>
    <tabColor rgb="FF92D050"/>
  </sheetPr>
  <dimension ref="A1:N61"/>
  <sheetViews>
    <sheetView zoomScale="50" zoomScaleNormal="50" workbookViewId="0">
      <selection activeCell="O25" sqref="O25"/>
    </sheetView>
  </sheetViews>
  <sheetFormatPr baseColWidth="10" defaultRowHeight="12.75" x14ac:dyDescent="0.2"/>
  <cols>
    <col min="1" max="1" width="7.42578125" style="652" customWidth="1"/>
    <col min="2" max="2" width="32" style="652" customWidth="1"/>
    <col min="3" max="3" width="17.85546875" style="652" customWidth="1"/>
    <col min="4" max="4" width="19.85546875" style="652" customWidth="1"/>
    <col min="5" max="5" width="26.7109375" style="652" customWidth="1"/>
    <col min="6" max="6" width="16.85546875" style="652" customWidth="1"/>
    <col min="7" max="7" width="13.5703125" style="652" customWidth="1"/>
    <col min="8" max="8" width="19" style="652" customWidth="1"/>
    <col min="9" max="9" width="17.42578125" style="652" customWidth="1"/>
    <col min="10" max="10" width="19.42578125" style="652" customWidth="1"/>
    <col min="11" max="11" width="16.42578125" style="652" customWidth="1"/>
    <col min="12" max="12" width="14.5703125" style="652" customWidth="1"/>
    <col min="13" max="16384" width="11.42578125" style="652"/>
  </cols>
  <sheetData>
    <row r="1" spans="1:9" ht="15" x14ac:dyDescent="0.25">
      <c r="A1" s="2" t="s">
        <v>15</v>
      </c>
      <c r="B1" s="99"/>
    </row>
    <row r="2" spans="1:9" ht="15" x14ac:dyDescent="0.25">
      <c r="A2" s="2" t="s">
        <v>16</v>
      </c>
      <c r="B2" s="99"/>
    </row>
    <row r="3" spans="1:9" ht="15" x14ac:dyDescent="0.25">
      <c r="A3" s="2" t="s">
        <v>17</v>
      </c>
      <c r="B3" s="99"/>
      <c r="C3" s="656"/>
    </row>
    <row r="4" spans="1:9" ht="15" x14ac:dyDescent="0.25">
      <c r="A4" s="2" t="s">
        <v>18</v>
      </c>
      <c r="B4" s="99"/>
      <c r="C4" s="656"/>
    </row>
    <row r="5" spans="1:9" x14ac:dyDescent="0.2">
      <c r="A5" s="99"/>
      <c r="B5" s="99"/>
      <c r="C5" s="674"/>
    </row>
    <row r="6" spans="1:9" ht="15" x14ac:dyDescent="0.25">
      <c r="A6" s="99"/>
      <c r="B6" s="535" t="s">
        <v>414</v>
      </c>
      <c r="C6" s="674"/>
    </row>
    <row r="7" spans="1:9" ht="15" x14ac:dyDescent="0.25">
      <c r="A7" s="99"/>
      <c r="B7" s="4"/>
      <c r="C7" s="674"/>
    </row>
    <row r="8" spans="1:9" ht="15" x14ac:dyDescent="0.25">
      <c r="A8" s="99"/>
      <c r="B8" s="536" t="s">
        <v>415</v>
      </c>
      <c r="C8" s="674"/>
    </row>
    <row r="9" spans="1:9" ht="15" x14ac:dyDescent="0.25">
      <c r="B9" s="535" t="s">
        <v>416</v>
      </c>
      <c r="C9" s="537"/>
      <c r="D9" s="4"/>
      <c r="E9" s="4"/>
      <c r="F9" s="4"/>
      <c r="G9" s="4"/>
      <c r="H9" s="4"/>
      <c r="I9" s="99"/>
    </row>
    <row r="10" spans="1:9" s="673" customFormat="1" ht="15.75" thickBot="1" x14ac:dyDescent="0.3">
      <c r="A10" s="652"/>
      <c r="B10" s="4"/>
      <c r="C10" s="538"/>
      <c r="D10" s="4"/>
      <c r="E10" s="4"/>
      <c r="F10" s="4"/>
      <c r="G10" s="4"/>
      <c r="H10" s="4"/>
      <c r="I10" s="99"/>
    </row>
    <row r="11" spans="1:9" s="673" customFormat="1" ht="15.75" customHeight="1" thickBot="1" x14ac:dyDescent="0.25">
      <c r="A11" s="652"/>
      <c r="B11" s="765" t="s">
        <v>417</v>
      </c>
      <c r="C11" s="766"/>
      <c r="D11" s="766"/>
      <c r="E11" s="766"/>
      <c r="F11" s="766"/>
      <c r="G11" s="766"/>
      <c r="H11" s="767"/>
      <c r="I11" s="99"/>
    </row>
    <row r="12" spans="1:9" s="673" customFormat="1" ht="15" x14ac:dyDescent="0.25">
      <c r="A12" s="652"/>
      <c r="B12" s="4"/>
      <c r="C12" s="539"/>
      <c r="D12" s="4"/>
      <c r="E12" s="4"/>
      <c r="F12" s="4"/>
      <c r="G12" s="4"/>
      <c r="H12" s="99"/>
      <c r="I12" s="4"/>
    </row>
    <row r="13" spans="1:9" s="673" customFormat="1" ht="60" customHeight="1" x14ac:dyDescent="0.25">
      <c r="A13" s="652"/>
      <c r="B13" s="768"/>
      <c r="C13" s="769"/>
      <c r="D13" s="540" t="s">
        <v>13</v>
      </c>
      <c r="E13" s="540" t="s">
        <v>12</v>
      </c>
      <c r="F13" s="540" t="s">
        <v>11</v>
      </c>
      <c r="G13" s="540" t="s">
        <v>10</v>
      </c>
      <c r="H13" s="540" t="s">
        <v>420</v>
      </c>
      <c r="I13" s="541" t="s">
        <v>33</v>
      </c>
    </row>
    <row r="14" spans="1:9" s="673" customFormat="1" ht="15" x14ac:dyDescent="0.2">
      <c r="A14" s="652"/>
      <c r="B14" s="770">
        <v>2013</v>
      </c>
      <c r="C14" s="771"/>
      <c r="D14" s="542"/>
      <c r="E14" s="542">
        <v>2</v>
      </c>
      <c r="F14" s="543"/>
      <c r="G14" s="542">
        <v>1</v>
      </c>
      <c r="H14" s="543"/>
      <c r="I14" s="544">
        <f>SUM(D14:H14)</f>
        <v>3</v>
      </c>
    </row>
    <row r="15" spans="1:9" s="673" customFormat="1" ht="15" x14ac:dyDescent="0.2">
      <c r="A15" s="652"/>
      <c r="B15" s="770">
        <v>2014</v>
      </c>
      <c r="C15" s="771"/>
      <c r="D15" s="542"/>
      <c r="E15" s="542">
        <v>8</v>
      </c>
      <c r="F15" s="543"/>
      <c r="G15" s="542">
        <v>4</v>
      </c>
      <c r="H15" s="543"/>
      <c r="I15" s="544">
        <f t="shared" ref="I15:I19" si="0">SUM(D15:H15)</f>
        <v>12</v>
      </c>
    </row>
    <row r="16" spans="1:9" s="673" customFormat="1" ht="15" x14ac:dyDescent="0.2">
      <c r="A16" s="652"/>
      <c r="B16" s="770">
        <v>2015</v>
      </c>
      <c r="C16" s="771"/>
      <c r="D16" s="542">
        <v>216</v>
      </c>
      <c r="E16" s="542">
        <v>655</v>
      </c>
      <c r="F16" s="543">
        <v>190</v>
      </c>
      <c r="G16" s="542">
        <v>4</v>
      </c>
      <c r="H16" s="543">
        <v>1</v>
      </c>
      <c r="I16" s="545">
        <f t="shared" si="0"/>
        <v>1066</v>
      </c>
    </row>
    <row r="17" spans="1:14" s="673" customFormat="1" ht="15" x14ac:dyDescent="0.2">
      <c r="A17" s="652"/>
      <c r="B17" s="751">
        <v>2016</v>
      </c>
      <c r="C17" s="752"/>
      <c r="D17" s="546">
        <v>572</v>
      </c>
      <c r="E17" s="546">
        <v>966</v>
      </c>
      <c r="F17" s="547">
        <v>358</v>
      </c>
      <c r="G17" s="542">
        <v>126</v>
      </c>
      <c r="H17" s="547">
        <v>15</v>
      </c>
      <c r="I17" s="548">
        <f t="shared" si="0"/>
        <v>2037</v>
      </c>
    </row>
    <row r="18" spans="1:14" s="673" customFormat="1" ht="15" x14ac:dyDescent="0.2">
      <c r="A18" s="652"/>
      <c r="B18" s="751">
        <v>2017</v>
      </c>
      <c r="C18" s="752"/>
      <c r="D18" s="546">
        <v>728</v>
      </c>
      <c r="E18" s="546">
        <v>1996</v>
      </c>
      <c r="F18" s="547">
        <v>920</v>
      </c>
      <c r="G18" s="546">
        <v>308</v>
      </c>
      <c r="H18" s="547">
        <v>10</v>
      </c>
      <c r="I18" s="548">
        <f t="shared" si="0"/>
        <v>3962</v>
      </c>
    </row>
    <row r="19" spans="1:14" s="673" customFormat="1" ht="15" customHeight="1" x14ac:dyDescent="0.2">
      <c r="A19" s="652"/>
      <c r="B19" s="753" t="s">
        <v>418</v>
      </c>
      <c r="C19" s="754"/>
      <c r="D19" s="549">
        <f>SUM(D14:D18)</f>
        <v>1516</v>
      </c>
      <c r="E19" s="549">
        <f>SUM(E14:E18)</f>
        <v>3627</v>
      </c>
      <c r="F19" s="549">
        <f>SUM(F14:F18)</f>
        <v>1468</v>
      </c>
      <c r="G19" s="549">
        <f>SUM(G14:G18)</f>
        <v>443</v>
      </c>
      <c r="H19" s="549">
        <v>26</v>
      </c>
      <c r="I19" s="549">
        <f t="shared" si="0"/>
        <v>7080</v>
      </c>
    </row>
    <row r="20" spans="1:14" s="673" customFormat="1" ht="15" customHeight="1" x14ac:dyDescent="0.2">
      <c r="A20" s="652"/>
      <c r="B20" s="755" t="s">
        <v>419</v>
      </c>
      <c r="C20" s="756"/>
      <c r="D20" s="550">
        <f>SUM(D14:D16)</f>
        <v>216</v>
      </c>
      <c r="E20" s="550">
        <f t="shared" ref="E20:H20" si="1">SUM(E14:E16)</f>
        <v>665</v>
      </c>
      <c r="F20" s="550">
        <f t="shared" si="1"/>
        <v>190</v>
      </c>
      <c r="G20" s="550">
        <f t="shared" si="1"/>
        <v>9</v>
      </c>
      <c r="H20" s="550">
        <f t="shared" si="1"/>
        <v>1</v>
      </c>
      <c r="I20" s="550">
        <f>SUM(I14:I16)</f>
        <v>1081</v>
      </c>
    </row>
    <row r="21" spans="1:14" s="673" customFormat="1" x14ac:dyDescent="0.2">
      <c r="A21" s="652"/>
      <c r="B21" s="498"/>
      <c r="C21" s="498"/>
      <c r="D21" s="674"/>
    </row>
    <row r="22" spans="1:14" ht="15" x14ac:dyDescent="0.25">
      <c r="B22" s="691" t="s">
        <v>429</v>
      </c>
      <c r="L22" s="671"/>
      <c r="M22" s="671"/>
      <c r="N22" s="656"/>
    </row>
    <row r="23" spans="1:14" x14ac:dyDescent="0.2">
      <c r="L23" s="656"/>
      <c r="M23" s="667"/>
      <c r="N23" s="656"/>
    </row>
    <row r="24" spans="1:14" x14ac:dyDescent="0.2">
      <c r="B24" s="757" t="s">
        <v>388</v>
      </c>
      <c r="C24" s="757"/>
      <c r="D24" s="757"/>
      <c r="E24" s="757"/>
      <c r="F24" s="671"/>
      <c r="G24" s="687"/>
      <c r="I24" s="671"/>
      <c r="J24" s="656"/>
      <c r="K24" s="656"/>
      <c r="L24" s="656"/>
      <c r="M24" s="499"/>
      <c r="N24" s="656"/>
    </row>
    <row r="25" spans="1:14" ht="63.75" x14ac:dyDescent="0.2">
      <c r="B25" s="690" t="s">
        <v>25</v>
      </c>
      <c r="C25" s="690" t="s">
        <v>26</v>
      </c>
      <c r="D25" s="690" t="s">
        <v>27</v>
      </c>
      <c r="E25" s="689" t="s">
        <v>185</v>
      </c>
      <c r="F25" s="689" t="s">
        <v>389</v>
      </c>
      <c r="G25" s="689" t="s">
        <v>390</v>
      </c>
      <c r="H25" s="688" t="s">
        <v>391</v>
      </c>
      <c r="I25" s="688" t="s">
        <v>392</v>
      </c>
      <c r="J25" s="688" t="s">
        <v>393</v>
      </c>
      <c r="K25" s="656"/>
      <c r="L25" s="656"/>
      <c r="M25" s="499"/>
      <c r="N25" s="656"/>
    </row>
    <row r="26" spans="1:14" ht="15" x14ac:dyDescent="0.2">
      <c r="B26" s="686" t="s">
        <v>29</v>
      </c>
      <c r="C26" s="684">
        <v>7080</v>
      </c>
      <c r="D26" s="684">
        <v>1080</v>
      </c>
      <c r="E26" s="685">
        <f>($D26*70)/100</f>
        <v>756</v>
      </c>
      <c r="F26" s="684">
        <v>911</v>
      </c>
      <c r="G26" s="186">
        <f>$F26/$D26</f>
        <v>0.84351851851851856</v>
      </c>
      <c r="H26" s="685">
        <v>1080</v>
      </c>
      <c r="I26" s="684">
        <v>1018</v>
      </c>
      <c r="J26" s="683">
        <f>$I26/$H26</f>
        <v>0.94259259259259254</v>
      </c>
      <c r="K26" s="656"/>
      <c r="L26" s="656"/>
      <c r="M26" s="499"/>
      <c r="N26" s="656"/>
    </row>
    <row r="27" spans="1:14" ht="15" x14ac:dyDescent="0.2">
      <c r="B27" s="661" t="s">
        <v>30</v>
      </c>
      <c r="C27" s="661">
        <v>1516</v>
      </c>
      <c r="D27" s="681">
        <v>216</v>
      </c>
      <c r="E27" s="658">
        <f>($D27*70)/100</f>
        <v>151.19999999999999</v>
      </c>
      <c r="F27" s="658">
        <v>157</v>
      </c>
      <c r="G27" s="258">
        <f>$F27/$D27</f>
        <v>0.72685185185185186</v>
      </c>
      <c r="H27" s="658">
        <v>216</v>
      </c>
      <c r="I27" s="658">
        <v>212</v>
      </c>
      <c r="J27" s="682">
        <f>$I27/$H27</f>
        <v>0.98148148148148151</v>
      </c>
      <c r="K27" s="656"/>
      <c r="L27" s="656"/>
      <c r="M27" s="499"/>
      <c r="N27" s="656"/>
    </row>
    <row r="28" spans="1:14" ht="15" x14ac:dyDescent="0.2">
      <c r="B28" s="661" t="s">
        <v>12</v>
      </c>
      <c r="C28" s="661">
        <v>3627</v>
      </c>
      <c r="D28" s="681">
        <v>665</v>
      </c>
      <c r="E28" s="658">
        <f>($D28*70)/100</f>
        <v>465.5</v>
      </c>
      <c r="F28" s="658">
        <v>515</v>
      </c>
      <c r="G28" s="187">
        <f>$F28/$D28</f>
        <v>0.77443609022556392</v>
      </c>
      <c r="H28" s="658">
        <v>665</v>
      </c>
      <c r="I28" s="658">
        <v>540</v>
      </c>
      <c r="J28" s="680">
        <f>$I28/$H28</f>
        <v>0.81203007518796988</v>
      </c>
      <c r="K28" s="656"/>
      <c r="L28" s="656"/>
      <c r="M28" s="499"/>
      <c r="N28" s="656"/>
    </row>
    <row r="29" spans="1:14" ht="15" x14ac:dyDescent="0.2">
      <c r="B29" s="661" t="s">
        <v>11</v>
      </c>
      <c r="C29" s="661">
        <v>1468</v>
      </c>
      <c r="D29" s="681">
        <v>190</v>
      </c>
      <c r="E29" s="658">
        <f>($D29*70)/100</f>
        <v>133</v>
      </c>
      <c r="F29" s="658">
        <v>232</v>
      </c>
      <c r="G29" s="187">
        <f>$F29/$D29</f>
        <v>1.2210526315789474</v>
      </c>
      <c r="H29" s="658">
        <v>190</v>
      </c>
      <c r="I29" s="658">
        <v>258</v>
      </c>
      <c r="J29" s="680">
        <f>$I29/$H29</f>
        <v>1.3578947368421053</v>
      </c>
      <c r="K29" s="656"/>
      <c r="L29" s="656"/>
      <c r="M29" s="499"/>
      <c r="N29" s="656"/>
    </row>
    <row r="30" spans="1:14" ht="15" x14ac:dyDescent="0.2">
      <c r="B30" s="661" t="s">
        <v>10</v>
      </c>
      <c r="C30" s="661">
        <v>443</v>
      </c>
      <c r="D30" s="681">
        <v>9</v>
      </c>
      <c r="E30" s="658">
        <f>($D30*70)/100</f>
        <v>6.3</v>
      </c>
      <c r="F30" s="658">
        <v>7</v>
      </c>
      <c r="G30" s="187">
        <f>$F30/$D30</f>
        <v>0.77777777777777779</v>
      </c>
      <c r="H30" s="658">
        <v>9</v>
      </c>
      <c r="I30" s="658">
        <v>8</v>
      </c>
      <c r="J30" s="680">
        <f>$I30/$H30</f>
        <v>0.88888888888888884</v>
      </c>
      <c r="K30" s="656"/>
      <c r="L30" s="656"/>
      <c r="M30" s="656"/>
      <c r="N30" s="656"/>
    </row>
    <row r="31" spans="1:14" x14ac:dyDescent="0.2">
      <c r="A31" s="673"/>
      <c r="B31" s="679"/>
      <c r="C31" s="679"/>
      <c r="D31" s="678"/>
      <c r="E31" s="653"/>
      <c r="F31" s="653"/>
      <c r="G31" s="259"/>
      <c r="H31" s="673"/>
      <c r="I31" s="653"/>
      <c r="J31" s="656"/>
      <c r="K31" s="656"/>
    </row>
    <row r="32" spans="1:14" x14ac:dyDescent="0.2">
      <c r="A32" s="673"/>
      <c r="B32" s="679"/>
      <c r="C32" s="679"/>
      <c r="D32" s="678"/>
      <c r="E32" s="653"/>
      <c r="F32" s="653"/>
      <c r="G32" s="259"/>
      <c r="H32" s="673"/>
      <c r="I32" s="653"/>
      <c r="J32" s="656"/>
      <c r="K32" s="656"/>
    </row>
    <row r="33" spans="1:11" ht="31.5" x14ac:dyDescent="0.2">
      <c r="A33" s="673"/>
      <c r="B33" s="672" t="s">
        <v>344</v>
      </c>
      <c r="F33" s="653"/>
      <c r="G33" s="259"/>
      <c r="H33" s="673"/>
      <c r="I33" s="653"/>
      <c r="J33" s="656"/>
      <c r="K33" s="656"/>
    </row>
    <row r="34" spans="1:11" ht="76.5" x14ac:dyDescent="0.2">
      <c r="A34" s="673"/>
      <c r="B34" s="669" t="s">
        <v>25</v>
      </c>
      <c r="C34" s="669" t="s">
        <v>345</v>
      </c>
      <c r="D34" s="669" t="s">
        <v>346</v>
      </c>
      <c r="E34" s="668" t="s">
        <v>347</v>
      </c>
      <c r="F34" s="653"/>
      <c r="G34" s="259"/>
      <c r="H34" s="673"/>
      <c r="I34" s="653"/>
      <c r="J34" s="656"/>
      <c r="K34" s="656"/>
    </row>
    <row r="35" spans="1:11" x14ac:dyDescent="0.2">
      <c r="A35" s="673"/>
      <c r="B35" s="666" t="s">
        <v>29</v>
      </c>
      <c r="C35" s="665">
        <v>1395</v>
      </c>
      <c r="D35" s="663">
        <v>771</v>
      </c>
      <c r="E35" s="495">
        <f t="shared" ref="E35:E40" si="2">$D35/$C35</f>
        <v>0.55268817204301079</v>
      </c>
      <c r="F35" s="653"/>
      <c r="G35" s="259"/>
      <c r="H35" s="673"/>
      <c r="I35" s="653"/>
      <c r="J35" s="656"/>
      <c r="K35" s="656"/>
    </row>
    <row r="36" spans="1:11" x14ac:dyDescent="0.2">
      <c r="A36" s="673"/>
      <c r="B36" s="662" t="s">
        <v>30</v>
      </c>
      <c r="C36" s="661">
        <f>370+2</f>
        <v>372</v>
      </c>
      <c r="D36" s="658">
        <v>252</v>
      </c>
      <c r="E36" s="260">
        <f t="shared" si="2"/>
        <v>0.67741935483870963</v>
      </c>
      <c r="F36" s="653"/>
      <c r="G36" s="259"/>
      <c r="H36" s="673"/>
      <c r="I36" s="653"/>
      <c r="J36" s="656"/>
      <c r="K36" s="656"/>
    </row>
    <row r="37" spans="1:11" x14ac:dyDescent="0.2">
      <c r="A37" s="673"/>
      <c r="B37" s="662" t="s">
        <v>12</v>
      </c>
      <c r="C37" s="661">
        <v>735</v>
      </c>
      <c r="D37" s="658">
        <v>331</v>
      </c>
      <c r="E37" s="260">
        <f t="shared" si="2"/>
        <v>0.45034013605442175</v>
      </c>
      <c r="F37" s="653"/>
      <c r="G37" s="259"/>
      <c r="H37" s="673"/>
      <c r="I37" s="653"/>
      <c r="J37" s="656"/>
      <c r="K37" s="656"/>
    </row>
    <row r="38" spans="1:11" x14ac:dyDescent="0.2">
      <c r="A38" s="673"/>
      <c r="B38" s="662" t="s">
        <v>11</v>
      </c>
      <c r="C38" s="661">
        <v>247</v>
      </c>
      <c r="D38" s="658">
        <v>169</v>
      </c>
      <c r="E38" s="260">
        <f t="shared" si="2"/>
        <v>0.68421052631578949</v>
      </c>
      <c r="F38" s="653"/>
      <c r="G38" s="259"/>
      <c r="H38" s="673"/>
      <c r="I38" s="653"/>
      <c r="J38" s="656"/>
      <c r="K38" s="656"/>
    </row>
    <row r="39" spans="1:11" x14ac:dyDescent="0.2">
      <c r="A39" s="673"/>
      <c r="B39" s="662" t="s">
        <v>10</v>
      </c>
      <c r="C39" s="661">
        <f>34+7</f>
        <v>41</v>
      </c>
      <c r="D39" s="658">
        <v>19</v>
      </c>
      <c r="E39" s="260">
        <f t="shared" si="2"/>
        <v>0.46341463414634149</v>
      </c>
      <c r="F39" s="653"/>
      <c r="G39" s="259"/>
      <c r="H39" s="673"/>
      <c r="I39" s="653"/>
      <c r="J39" s="656"/>
      <c r="K39" s="656"/>
    </row>
    <row r="40" spans="1:11" x14ac:dyDescent="0.2">
      <c r="A40" s="673"/>
      <c r="B40" s="677" t="s">
        <v>31</v>
      </c>
      <c r="C40" s="676">
        <v>9</v>
      </c>
      <c r="D40" s="675">
        <v>0</v>
      </c>
      <c r="E40" s="261">
        <f t="shared" si="2"/>
        <v>0</v>
      </c>
      <c r="F40" s="653"/>
      <c r="G40" s="259"/>
      <c r="H40" s="673"/>
      <c r="I40" s="653"/>
      <c r="J40" s="656"/>
      <c r="K40" s="656"/>
    </row>
    <row r="41" spans="1:11" x14ac:dyDescent="0.2">
      <c r="A41" s="673"/>
      <c r="F41" s="653"/>
      <c r="G41" s="259"/>
      <c r="H41" s="673"/>
      <c r="I41" s="653"/>
      <c r="J41" s="656"/>
      <c r="K41" s="656"/>
    </row>
    <row r="42" spans="1:11" x14ac:dyDescent="0.2">
      <c r="A42" s="673"/>
      <c r="B42" s="758" t="s">
        <v>348</v>
      </c>
      <c r="C42" s="758"/>
      <c r="D42" s="758"/>
      <c r="F42" s="653"/>
      <c r="G42" s="259"/>
      <c r="H42" s="673"/>
      <c r="I42" s="653"/>
      <c r="J42" s="656"/>
      <c r="K42" s="656"/>
    </row>
    <row r="43" spans="1:11" x14ac:dyDescent="0.2">
      <c r="A43" s="673"/>
      <c r="F43" s="653"/>
      <c r="G43" s="259"/>
      <c r="H43" s="673"/>
      <c r="I43" s="653"/>
      <c r="J43" s="656"/>
      <c r="K43" s="656"/>
    </row>
    <row r="45" spans="1:11" ht="31.5" x14ac:dyDescent="0.2">
      <c r="B45" s="672" t="s">
        <v>334</v>
      </c>
    </row>
    <row r="46" spans="1:11" ht="15" x14ac:dyDescent="0.2">
      <c r="B46" s="759" t="s">
        <v>394</v>
      </c>
      <c r="C46" s="760"/>
      <c r="D46" s="761"/>
      <c r="E46" s="762" t="s">
        <v>181</v>
      </c>
      <c r="F46" s="763"/>
      <c r="G46" s="763"/>
      <c r="H46" s="763"/>
      <c r="I46" s="764" t="s">
        <v>182</v>
      </c>
      <c r="J46" s="764"/>
      <c r="K46" s="671"/>
    </row>
    <row r="47" spans="1:11" ht="127.5" x14ac:dyDescent="0.2">
      <c r="B47" s="669" t="s">
        <v>25</v>
      </c>
      <c r="C47" s="669" t="s">
        <v>26</v>
      </c>
      <c r="D47" s="669" t="s">
        <v>168</v>
      </c>
      <c r="E47" s="670" t="s">
        <v>183</v>
      </c>
      <c r="F47" s="669" t="s">
        <v>335</v>
      </c>
      <c r="G47" s="669" t="s">
        <v>395</v>
      </c>
      <c r="H47" s="669" t="s">
        <v>349</v>
      </c>
      <c r="I47" s="668" t="s">
        <v>350</v>
      </c>
      <c r="J47" s="668" t="s">
        <v>184</v>
      </c>
      <c r="K47" s="667"/>
    </row>
    <row r="48" spans="1:11" x14ac:dyDescent="0.2">
      <c r="B48" s="666" t="s">
        <v>29</v>
      </c>
      <c r="C48" s="665">
        <v>7080</v>
      </c>
      <c r="D48" s="663">
        <f t="shared" ref="D48:D53" si="3">($C48*25)/100</f>
        <v>1770</v>
      </c>
      <c r="E48" s="663">
        <v>967</v>
      </c>
      <c r="F48" s="664">
        <v>2241</v>
      </c>
      <c r="G48" s="664">
        <v>152</v>
      </c>
      <c r="H48" s="663">
        <f t="shared" ref="H48:H53" si="4">SUM(E48:G48)</f>
        <v>3360</v>
      </c>
      <c r="I48" s="100">
        <f t="shared" ref="I48:I53" si="5">$F48/$D48</f>
        <v>1.2661016949152541</v>
      </c>
      <c r="J48" s="100">
        <f t="shared" ref="J48:J53" si="6">$H48/$C48</f>
        <v>0.47457627118644069</v>
      </c>
      <c r="K48" s="496"/>
    </row>
    <row r="49" spans="2:11" x14ac:dyDescent="0.2">
      <c r="B49" s="662" t="s">
        <v>30</v>
      </c>
      <c r="C49" s="661">
        <v>1516</v>
      </c>
      <c r="D49" s="660">
        <f t="shared" si="3"/>
        <v>379</v>
      </c>
      <c r="E49" s="658">
        <v>165</v>
      </c>
      <c r="F49" s="659">
        <v>435</v>
      </c>
      <c r="G49" s="659">
        <v>40</v>
      </c>
      <c r="H49" s="658">
        <f t="shared" si="4"/>
        <v>640</v>
      </c>
      <c r="I49" s="107">
        <f t="shared" si="5"/>
        <v>1.1477572559366755</v>
      </c>
      <c r="J49" s="101">
        <f t="shared" si="6"/>
        <v>0.42216358839050133</v>
      </c>
      <c r="K49" s="497"/>
    </row>
    <row r="50" spans="2:11" x14ac:dyDescent="0.2">
      <c r="B50" s="662" t="s">
        <v>12</v>
      </c>
      <c r="C50" s="661">
        <v>3627</v>
      </c>
      <c r="D50" s="660">
        <f t="shared" si="3"/>
        <v>906.75</v>
      </c>
      <c r="E50" s="658">
        <v>518</v>
      </c>
      <c r="F50" s="659">
        <v>973</v>
      </c>
      <c r="G50" s="659">
        <v>51</v>
      </c>
      <c r="H50" s="658">
        <f t="shared" si="4"/>
        <v>1542</v>
      </c>
      <c r="I50" s="107">
        <f t="shared" si="5"/>
        <v>1.0730631375792665</v>
      </c>
      <c r="J50" s="101">
        <f t="shared" si="6"/>
        <v>0.4251447477253929</v>
      </c>
      <c r="K50" s="497"/>
    </row>
    <row r="51" spans="2:11" x14ac:dyDescent="0.2">
      <c r="B51" s="662" t="s">
        <v>11</v>
      </c>
      <c r="C51" s="661">
        <v>1468</v>
      </c>
      <c r="D51" s="660">
        <f t="shared" si="3"/>
        <v>367</v>
      </c>
      <c r="E51" s="658">
        <v>197</v>
      </c>
      <c r="F51" s="659">
        <v>627</v>
      </c>
      <c r="G51" s="659">
        <v>58</v>
      </c>
      <c r="H51" s="658">
        <f t="shared" si="4"/>
        <v>882</v>
      </c>
      <c r="I51" s="107">
        <f t="shared" si="5"/>
        <v>1.7084468664850136</v>
      </c>
      <c r="J51" s="101">
        <f t="shared" si="6"/>
        <v>0.60081743869209814</v>
      </c>
      <c r="K51" s="497"/>
    </row>
    <row r="52" spans="2:11" x14ac:dyDescent="0.2">
      <c r="B52" s="662" t="s">
        <v>10</v>
      </c>
      <c r="C52" s="661">
        <v>443</v>
      </c>
      <c r="D52" s="660">
        <f t="shared" si="3"/>
        <v>110.75</v>
      </c>
      <c r="E52" s="658">
        <v>86</v>
      </c>
      <c r="F52" s="659">
        <v>200</v>
      </c>
      <c r="G52" s="659">
        <v>3</v>
      </c>
      <c r="H52" s="658">
        <f t="shared" si="4"/>
        <v>289</v>
      </c>
      <c r="I52" s="107">
        <f t="shared" si="5"/>
        <v>1.8058690744920993</v>
      </c>
      <c r="J52" s="101">
        <f t="shared" si="6"/>
        <v>0.65237020316027083</v>
      </c>
      <c r="K52" s="497"/>
    </row>
    <row r="53" spans="2:11" x14ac:dyDescent="0.2">
      <c r="B53" s="662" t="s">
        <v>31</v>
      </c>
      <c r="C53" s="661">
        <v>26</v>
      </c>
      <c r="D53" s="660">
        <f t="shared" si="3"/>
        <v>6.5</v>
      </c>
      <c r="E53" s="658">
        <v>1</v>
      </c>
      <c r="F53" s="659">
        <v>6</v>
      </c>
      <c r="G53" s="659">
        <v>0</v>
      </c>
      <c r="H53" s="658">
        <f t="shared" si="4"/>
        <v>7</v>
      </c>
      <c r="I53" s="101">
        <f t="shared" si="5"/>
        <v>0.92307692307692313</v>
      </c>
      <c r="J53" s="101">
        <f t="shared" si="6"/>
        <v>0.26923076923076922</v>
      </c>
      <c r="K53" s="497"/>
    </row>
    <row r="54" spans="2:11" x14ac:dyDescent="0.2">
      <c r="J54" s="657"/>
      <c r="K54" s="657"/>
    </row>
    <row r="55" spans="2:11" x14ac:dyDescent="0.2">
      <c r="H55" s="655"/>
    </row>
    <row r="56" spans="2:11" x14ac:dyDescent="0.2">
      <c r="H56" s="654"/>
    </row>
    <row r="57" spans="2:11" x14ac:dyDescent="0.2">
      <c r="H57" s="653"/>
    </row>
    <row r="58" spans="2:11" x14ac:dyDescent="0.2">
      <c r="H58" s="653"/>
    </row>
    <row r="59" spans="2:11" x14ac:dyDescent="0.2">
      <c r="H59" s="653"/>
    </row>
    <row r="60" spans="2:11" x14ac:dyDescent="0.2">
      <c r="H60" s="653"/>
    </row>
    <row r="61" spans="2:11" x14ac:dyDescent="0.2">
      <c r="H61" s="653"/>
    </row>
  </sheetData>
  <mergeCells count="14">
    <mergeCell ref="B42:D42"/>
    <mergeCell ref="B46:D46"/>
    <mergeCell ref="E46:H46"/>
    <mergeCell ref="I46:J46"/>
    <mergeCell ref="B11:H11"/>
    <mergeCell ref="B13:C13"/>
    <mergeCell ref="B14:C14"/>
    <mergeCell ref="B15:C15"/>
    <mergeCell ref="B16:C16"/>
    <mergeCell ref="B17:C17"/>
    <mergeCell ref="B18:C18"/>
    <mergeCell ref="B19:C19"/>
    <mergeCell ref="B20:C20"/>
    <mergeCell ref="B24:E24"/>
  </mergeCells>
  <conditionalFormatting sqref="J26:J30">
    <cfRule type="iconSet" priority="1">
      <iconSet iconSet="3Symbols">
        <cfvo type="percent" val="0"/>
        <cfvo type="num" val="0.7"/>
        <cfvo type="num" val="1"/>
      </iconSet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AF66"/>
  <sheetViews>
    <sheetView topLeftCell="A32" zoomScale="60" zoomScaleNormal="60" workbookViewId="0">
      <selection activeCell="V54" sqref="V54:V64"/>
    </sheetView>
  </sheetViews>
  <sheetFormatPr baseColWidth="10" defaultRowHeight="15" x14ac:dyDescent="0.25"/>
  <cols>
    <col min="1" max="1" width="11.42578125" style="40"/>
    <col min="2" max="2" width="41" style="40" customWidth="1"/>
    <col min="3" max="4" width="7.7109375" style="40" bestFit="1" customWidth="1"/>
    <col min="5" max="5" width="9.85546875" style="40" bestFit="1" customWidth="1"/>
    <col min="6" max="6" width="9.7109375" style="40" bestFit="1" customWidth="1"/>
    <col min="7" max="8" width="8.7109375" style="40" bestFit="1" customWidth="1"/>
    <col min="9" max="9" width="8.5703125" style="40" bestFit="1" customWidth="1"/>
    <col min="10" max="10" width="18.28515625" style="40" customWidth="1"/>
    <col min="11" max="11" width="11.42578125" style="40"/>
    <col min="12" max="12" width="9.28515625" style="40" customWidth="1"/>
    <col min="13" max="13" width="52.7109375" style="40" customWidth="1"/>
    <col min="14" max="14" width="7.7109375" style="40" bestFit="1" customWidth="1"/>
    <col min="15" max="20" width="7.42578125" style="40" bestFit="1" customWidth="1"/>
    <col min="21" max="21" width="16.7109375" style="40" bestFit="1" customWidth="1"/>
    <col min="22" max="22" width="14.140625" style="9" bestFit="1" customWidth="1"/>
    <col min="23" max="16384" width="11.42578125" style="40"/>
  </cols>
  <sheetData>
    <row r="1" spans="1:31" ht="15.75" x14ac:dyDescent="0.25">
      <c r="A1" s="2" t="s">
        <v>15</v>
      </c>
      <c r="K1" s="533"/>
    </row>
    <row r="2" spans="1:31" x14ac:dyDescent="0.25">
      <c r="A2" s="2" t="s">
        <v>16</v>
      </c>
    </row>
    <row r="3" spans="1:31" x14ac:dyDescent="0.25">
      <c r="A3" s="2" t="s">
        <v>17</v>
      </c>
    </row>
    <row r="4" spans="1:31" x14ac:dyDescent="0.25">
      <c r="A4" s="2" t="s">
        <v>18</v>
      </c>
    </row>
    <row r="5" spans="1:31" ht="15.75" thickBot="1" x14ac:dyDescent="0.3"/>
    <row r="6" spans="1:31" ht="22.5" thickTop="1" thickBot="1" x14ac:dyDescent="0.4">
      <c r="B6" s="775" t="s">
        <v>434</v>
      </c>
      <c r="C6" s="776"/>
      <c r="D6" s="776"/>
      <c r="E6" s="776"/>
      <c r="F6" s="776"/>
      <c r="G6" s="776"/>
      <c r="H6" s="776"/>
      <c r="I6" s="776"/>
      <c r="J6" s="776"/>
      <c r="K6" s="777"/>
      <c r="M6" s="775" t="s">
        <v>217</v>
      </c>
      <c r="N6" s="776"/>
      <c r="O6" s="776"/>
      <c r="P6" s="776"/>
      <c r="Q6" s="776"/>
      <c r="R6" s="776"/>
      <c r="S6" s="776"/>
      <c r="T6" s="776"/>
      <c r="U6" s="776"/>
      <c r="V6" s="777"/>
    </row>
    <row r="7" spans="1:31" ht="16.5" thickTop="1" thickBot="1" x14ac:dyDescent="0.3"/>
    <row r="8" spans="1:31" ht="16.5" thickTop="1" thickBot="1" x14ac:dyDescent="0.3">
      <c r="C8" s="113">
        <v>2009</v>
      </c>
      <c r="D8" s="114">
        <v>2013</v>
      </c>
      <c r="E8" s="114">
        <v>2014</v>
      </c>
      <c r="F8" s="114">
        <v>2015</v>
      </c>
      <c r="G8" s="114">
        <v>2016</v>
      </c>
      <c r="H8" s="114">
        <v>2017</v>
      </c>
      <c r="I8" s="115">
        <v>2018</v>
      </c>
      <c r="J8" s="116" t="s">
        <v>74</v>
      </c>
    </row>
    <row r="9" spans="1:31" ht="16.5" thickTop="1" thickBot="1" x14ac:dyDescent="0.3">
      <c r="B9" s="188" t="s">
        <v>248</v>
      </c>
      <c r="C9" s="189"/>
      <c r="D9" s="190">
        <v>3</v>
      </c>
      <c r="E9" s="190">
        <v>12</v>
      </c>
      <c r="F9" s="190">
        <v>1066</v>
      </c>
      <c r="G9" s="190">
        <v>2037</v>
      </c>
      <c r="H9" s="190">
        <v>3962</v>
      </c>
      <c r="I9" s="191"/>
      <c r="J9" s="192">
        <v>7080</v>
      </c>
      <c r="K9" s="534"/>
      <c r="M9" s="118" t="s">
        <v>219</v>
      </c>
      <c r="N9" s="157">
        <v>2009</v>
      </c>
      <c r="O9" s="158">
        <v>2013</v>
      </c>
      <c r="P9" s="158">
        <v>2014</v>
      </c>
      <c r="Q9" s="158">
        <v>2015</v>
      </c>
      <c r="R9" s="158">
        <v>2016</v>
      </c>
      <c r="S9" s="158">
        <v>2017</v>
      </c>
      <c r="T9" s="159">
        <v>2018</v>
      </c>
      <c r="U9" s="154" t="s">
        <v>74</v>
      </c>
      <c r="X9" s="229"/>
      <c r="Y9" s="229"/>
      <c r="Z9" s="229"/>
      <c r="AA9" s="229"/>
      <c r="AB9" s="229"/>
      <c r="AC9" s="229"/>
      <c r="AD9" s="229"/>
      <c r="AE9" s="229"/>
    </row>
    <row r="10" spans="1:31" ht="16.5" thickTop="1" thickBot="1" x14ac:dyDescent="0.3">
      <c r="B10" s="193" t="s">
        <v>232</v>
      </c>
      <c r="C10" s="194">
        <v>1</v>
      </c>
      <c r="D10" s="195">
        <v>1</v>
      </c>
      <c r="E10" s="195">
        <v>6</v>
      </c>
      <c r="F10" s="195">
        <v>708</v>
      </c>
      <c r="G10" s="195">
        <v>1783</v>
      </c>
      <c r="H10" s="195">
        <v>3482</v>
      </c>
      <c r="I10" s="196">
        <v>1548</v>
      </c>
      <c r="J10" s="197">
        <v>7528</v>
      </c>
      <c r="K10" s="696">
        <f>(J10-$J$9)/$J$9</f>
        <v>6.3276836158192087E-2</v>
      </c>
      <c r="M10" s="152" t="s">
        <v>12</v>
      </c>
      <c r="N10" s="160"/>
      <c r="O10" s="161">
        <v>1</v>
      </c>
      <c r="P10" s="161">
        <v>3</v>
      </c>
      <c r="Q10" s="161">
        <v>49</v>
      </c>
      <c r="R10" s="161">
        <v>350</v>
      </c>
      <c r="S10" s="161">
        <v>832</v>
      </c>
      <c r="T10" s="162">
        <v>2152</v>
      </c>
      <c r="U10" s="156">
        <v>3387</v>
      </c>
      <c r="X10" s="229"/>
      <c r="Y10" s="229"/>
      <c r="Z10" s="229"/>
      <c r="AA10" s="229"/>
      <c r="AB10" s="229"/>
      <c r="AC10" s="229"/>
      <c r="AD10" s="229"/>
      <c r="AE10" s="229"/>
    </row>
    <row r="11" spans="1:31" ht="15.75" thickTop="1" x14ac:dyDescent="0.25">
      <c r="B11" s="193" t="s">
        <v>247</v>
      </c>
      <c r="C11" s="194">
        <v>1</v>
      </c>
      <c r="D11" s="195">
        <v>1</v>
      </c>
      <c r="E11" s="195">
        <v>5</v>
      </c>
      <c r="F11" s="195">
        <v>583</v>
      </c>
      <c r="G11" s="195">
        <v>1594</v>
      </c>
      <c r="H11" s="195">
        <v>3280</v>
      </c>
      <c r="I11" s="196">
        <v>1763</v>
      </c>
      <c r="J11" s="197">
        <v>7226</v>
      </c>
      <c r="K11" s="696">
        <f t="shared" ref="K11:K17" si="0">(J11-$J$9)/$J$9</f>
        <v>2.0621468926553671E-2</v>
      </c>
      <c r="M11" s="132" t="s">
        <v>220</v>
      </c>
      <c r="N11" s="202"/>
      <c r="O11" s="128"/>
      <c r="P11" s="128">
        <v>1</v>
      </c>
      <c r="Q11" s="128">
        <v>13</v>
      </c>
      <c r="R11" s="128">
        <v>233</v>
      </c>
      <c r="S11" s="128">
        <v>520</v>
      </c>
      <c r="T11" s="129">
        <v>876</v>
      </c>
      <c r="U11" s="130">
        <v>1643</v>
      </c>
      <c r="V11" s="772">
        <f>U10/U65</f>
        <v>0.50431804645622391</v>
      </c>
      <c r="X11" s="229"/>
      <c r="Y11" s="229"/>
      <c r="Z11" s="229"/>
      <c r="AA11" s="229"/>
      <c r="AB11" s="229"/>
      <c r="AC11" s="229"/>
      <c r="AD11" s="229"/>
      <c r="AE11" s="229"/>
    </row>
    <row r="12" spans="1:31" x14ac:dyDescent="0.25">
      <c r="B12" s="193" t="s">
        <v>231</v>
      </c>
      <c r="C12" s="194">
        <v>1</v>
      </c>
      <c r="D12" s="195">
        <v>1</v>
      </c>
      <c r="E12" s="195">
        <v>4</v>
      </c>
      <c r="F12" s="195">
        <v>382</v>
      </c>
      <c r="G12" s="195">
        <v>1288</v>
      </c>
      <c r="H12" s="195">
        <v>2635</v>
      </c>
      <c r="I12" s="196">
        <v>2503</v>
      </c>
      <c r="J12" s="197">
        <v>6813</v>
      </c>
      <c r="K12" s="695">
        <f t="shared" si="0"/>
        <v>-3.7711864406779663E-2</v>
      </c>
      <c r="M12" s="133" t="s">
        <v>221</v>
      </c>
      <c r="N12" s="202"/>
      <c r="O12" s="128">
        <v>1</v>
      </c>
      <c r="P12" s="128">
        <v>2</v>
      </c>
      <c r="Q12" s="128">
        <v>9</v>
      </c>
      <c r="R12" s="128">
        <v>30</v>
      </c>
      <c r="S12" s="128">
        <v>73</v>
      </c>
      <c r="T12" s="129">
        <v>338</v>
      </c>
      <c r="U12" s="130">
        <v>453</v>
      </c>
      <c r="V12" s="773"/>
      <c r="X12" s="229"/>
      <c r="Y12" s="229"/>
      <c r="Z12" s="229"/>
      <c r="AA12" s="229"/>
      <c r="AB12" s="229"/>
      <c r="AC12" s="229"/>
      <c r="AD12" s="229"/>
      <c r="AE12" s="229"/>
    </row>
    <row r="13" spans="1:31" x14ac:dyDescent="0.25">
      <c r="B13" s="193" t="s">
        <v>249</v>
      </c>
      <c r="C13" s="194">
        <v>1</v>
      </c>
      <c r="D13" s="195">
        <v>16</v>
      </c>
      <c r="E13" s="195">
        <v>4</v>
      </c>
      <c r="F13" s="195">
        <v>270</v>
      </c>
      <c r="G13" s="195">
        <v>1086</v>
      </c>
      <c r="H13" s="195">
        <v>2179</v>
      </c>
      <c r="I13" s="196">
        <v>2723</v>
      </c>
      <c r="J13" s="197">
        <v>6279</v>
      </c>
      <c r="K13" s="695">
        <f t="shared" si="0"/>
        <v>-0.11313559322033899</v>
      </c>
      <c r="M13" s="133" t="s">
        <v>224</v>
      </c>
      <c r="N13" s="202"/>
      <c r="O13" s="128"/>
      <c r="P13" s="128"/>
      <c r="Q13" s="128">
        <v>2</v>
      </c>
      <c r="R13" s="128">
        <v>13</v>
      </c>
      <c r="S13" s="128">
        <v>73</v>
      </c>
      <c r="T13" s="129">
        <v>316</v>
      </c>
      <c r="U13" s="130">
        <v>404</v>
      </c>
      <c r="V13" s="773"/>
      <c r="X13" s="229"/>
      <c r="Y13" s="229"/>
      <c r="Z13" s="229"/>
      <c r="AA13" s="229"/>
      <c r="AB13" s="229"/>
      <c r="AC13" s="229"/>
      <c r="AD13" s="229"/>
      <c r="AE13" s="229"/>
    </row>
    <row r="14" spans="1:31" x14ac:dyDescent="0.25">
      <c r="B14" s="193" t="s">
        <v>238</v>
      </c>
      <c r="C14" s="194">
        <v>1</v>
      </c>
      <c r="D14" s="195">
        <v>16</v>
      </c>
      <c r="E14" s="195">
        <v>5</v>
      </c>
      <c r="F14" s="195">
        <v>242</v>
      </c>
      <c r="G14" s="195">
        <v>993</v>
      </c>
      <c r="H14" s="195">
        <v>2002</v>
      </c>
      <c r="I14" s="196">
        <v>2915</v>
      </c>
      <c r="J14" s="197">
        <v>6174</v>
      </c>
      <c r="K14" s="695">
        <f t="shared" si="0"/>
        <v>-0.12796610169491526</v>
      </c>
      <c r="M14" s="133" t="s">
        <v>223</v>
      </c>
      <c r="N14" s="202"/>
      <c r="O14" s="128"/>
      <c r="P14" s="128"/>
      <c r="Q14" s="128">
        <v>7</v>
      </c>
      <c r="R14" s="128">
        <v>49</v>
      </c>
      <c r="S14" s="128">
        <v>85</v>
      </c>
      <c r="T14" s="129">
        <v>149</v>
      </c>
      <c r="U14" s="130">
        <v>290</v>
      </c>
      <c r="V14" s="773"/>
      <c r="X14" s="229"/>
      <c r="Y14" s="229"/>
      <c r="Z14" s="229"/>
      <c r="AA14" s="229"/>
      <c r="AB14" s="229"/>
      <c r="AC14" s="229"/>
      <c r="AD14" s="229"/>
      <c r="AE14" s="229"/>
    </row>
    <row r="15" spans="1:31" x14ac:dyDescent="0.25">
      <c r="B15" s="193" t="s">
        <v>239</v>
      </c>
      <c r="C15" s="194">
        <v>1</v>
      </c>
      <c r="D15" s="195">
        <v>4</v>
      </c>
      <c r="E15" s="195">
        <v>5</v>
      </c>
      <c r="F15" s="195">
        <v>170</v>
      </c>
      <c r="G15" s="195">
        <v>794</v>
      </c>
      <c r="H15" s="195">
        <v>1809</v>
      </c>
      <c r="I15" s="196">
        <v>3631</v>
      </c>
      <c r="J15" s="197">
        <v>6414</v>
      </c>
      <c r="K15" s="695">
        <f t="shared" si="0"/>
        <v>-9.4067796610169493E-2</v>
      </c>
      <c r="M15" s="133" t="s">
        <v>228</v>
      </c>
      <c r="N15" s="202"/>
      <c r="O15" s="128"/>
      <c r="P15" s="128"/>
      <c r="Q15" s="128">
        <v>6</v>
      </c>
      <c r="R15" s="128">
        <v>4</v>
      </c>
      <c r="S15" s="128">
        <v>29</v>
      </c>
      <c r="T15" s="129">
        <v>178</v>
      </c>
      <c r="U15" s="130">
        <v>217</v>
      </c>
      <c r="V15" s="773"/>
      <c r="X15" s="229"/>
      <c r="Y15" s="229"/>
      <c r="Z15" s="229"/>
      <c r="AA15" s="229"/>
      <c r="AB15" s="229"/>
      <c r="AC15" s="229"/>
      <c r="AD15" s="229"/>
      <c r="AE15" s="229"/>
    </row>
    <row r="16" spans="1:31" x14ac:dyDescent="0.25">
      <c r="B16" s="193" t="s">
        <v>240</v>
      </c>
      <c r="C16" s="692"/>
      <c r="D16" s="195">
        <v>4</v>
      </c>
      <c r="E16" s="195">
        <v>4</v>
      </c>
      <c r="F16" s="195">
        <v>104</v>
      </c>
      <c r="G16" s="195">
        <v>700</v>
      </c>
      <c r="H16" s="195">
        <v>1662</v>
      </c>
      <c r="I16" s="196">
        <v>4001</v>
      </c>
      <c r="J16" s="197">
        <v>6475</v>
      </c>
      <c r="K16" s="695">
        <f t="shared" si="0"/>
        <v>-8.5451977401129947E-2</v>
      </c>
      <c r="L16" s="697"/>
      <c r="M16" s="133" t="s">
        <v>225</v>
      </c>
      <c r="N16" s="202"/>
      <c r="O16" s="128"/>
      <c r="P16" s="128"/>
      <c r="Q16" s="128"/>
      <c r="R16" s="128">
        <v>2</v>
      </c>
      <c r="S16" s="128">
        <v>12</v>
      </c>
      <c r="T16" s="129">
        <v>124</v>
      </c>
      <c r="U16" s="130">
        <v>138</v>
      </c>
      <c r="V16" s="773"/>
      <c r="X16" s="229"/>
      <c r="Y16" s="229"/>
      <c r="Z16" s="229"/>
      <c r="AA16" s="229"/>
      <c r="AB16" s="229"/>
      <c r="AC16" s="229"/>
      <c r="AD16" s="229"/>
      <c r="AE16" s="229"/>
    </row>
    <row r="17" spans="2:32" x14ac:dyDescent="0.25">
      <c r="B17" s="193" t="s">
        <v>430</v>
      </c>
      <c r="C17" s="692"/>
      <c r="D17" s="195">
        <v>4</v>
      </c>
      <c r="E17" s="195">
        <v>3</v>
      </c>
      <c r="F17" s="195">
        <v>82</v>
      </c>
      <c r="G17" s="195">
        <v>507</v>
      </c>
      <c r="H17" s="195">
        <v>1577</v>
      </c>
      <c r="I17" s="196">
        <v>4543</v>
      </c>
      <c r="J17" s="197">
        <v>6716</v>
      </c>
      <c r="K17" s="695">
        <f t="shared" si="0"/>
        <v>-5.141242937853107E-2</v>
      </c>
      <c r="M17" s="133" t="s">
        <v>226</v>
      </c>
      <c r="N17" s="202"/>
      <c r="O17" s="128"/>
      <c r="P17" s="128"/>
      <c r="Q17" s="128">
        <v>2</v>
      </c>
      <c r="R17" s="128">
        <v>5</v>
      </c>
      <c r="S17" s="128">
        <v>5</v>
      </c>
      <c r="T17" s="129">
        <v>84</v>
      </c>
      <c r="U17" s="130">
        <v>96</v>
      </c>
      <c r="V17" s="773"/>
      <c r="X17" s="229"/>
      <c r="Y17" s="229"/>
      <c r="Z17" s="229"/>
      <c r="AA17" s="229"/>
      <c r="AB17" s="229"/>
      <c r="AC17" s="229"/>
      <c r="AD17" s="229"/>
      <c r="AE17" s="229"/>
    </row>
    <row r="18" spans="2:32" ht="15.75" thickBot="1" x14ac:dyDescent="0.3">
      <c r="B18" s="198" t="s">
        <v>241</v>
      </c>
      <c r="C18" s="693"/>
      <c r="D18" s="199"/>
      <c r="E18" s="199"/>
      <c r="F18" s="199"/>
      <c r="G18" s="199"/>
      <c r="H18" s="199"/>
      <c r="I18" s="200"/>
      <c r="J18" s="201"/>
      <c r="K18" s="695"/>
      <c r="M18" s="133" t="s">
        <v>229</v>
      </c>
      <c r="N18" s="202"/>
      <c r="O18" s="128"/>
      <c r="P18" s="128"/>
      <c r="Q18" s="128">
        <v>2</v>
      </c>
      <c r="R18" s="128">
        <v>4</v>
      </c>
      <c r="S18" s="128">
        <v>12</v>
      </c>
      <c r="T18" s="129">
        <v>36</v>
      </c>
      <c r="U18" s="130">
        <v>54</v>
      </c>
      <c r="V18" s="773"/>
      <c r="X18" s="229"/>
      <c r="Y18" s="229"/>
      <c r="Z18" s="229"/>
      <c r="AA18" s="229"/>
      <c r="AB18" s="229"/>
      <c r="AC18" s="229"/>
      <c r="AD18" s="229"/>
      <c r="AE18" s="229"/>
    </row>
    <row r="19" spans="2:32" ht="15.75" thickTop="1" x14ac:dyDescent="0.25">
      <c r="M19" s="133" t="s">
        <v>230</v>
      </c>
      <c r="N19" s="202"/>
      <c r="O19" s="128"/>
      <c r="P19" s="128"/>
      <c r="Q19" s="128">
        <v>7</v>
      </c>
      <c r="R19" s="128">
        <v>5</v>
      </c>
      <c r="S19" s="128">
        <v>10</v>
      </c>
      <c r="T19" s="129">
        <v>27</v>
      </c>
      <c r="U19" s="130">
        <v>49</v>
      </c>
      <c r="V19" s="773"/>
      <c r="X19" s="229"/>
      <c r="Y19" s="229"/>
      <c r="Z19" s="229"/>
      <c r="AA19" s="229"/>
      <c r="AB19" s="229"/>
      <c r="AC19" s="229"/>
      <c r="AD19" s="229"/>
      <c r="AE19" s="229"/>
    </row>
    <row r="20" spans="2:32" ht="15.75" thickBot="1" x14ac:dyDescent="0.3">
      <c r="M20" s="133" t="s">
        <v>222</v>
      </c>
      <c r="N20" s="202"/>
      <c r="O20" s="128"/>
      <c r="P20" s="128"/>
      <c r="Q20" s="128">
        <v>1</v>
      </c>
      <c r="R20" s="128">
        <v>4</v>
      </c>
      <c r="S20" s="128">
        <v>11</v>
      </c>
      <c r="T20" s="129">
        <v>22</v>
      </c>
      <c r="U20" s="130">
        <v>38</v>
      </c>
      <c r="V20" s="773"/>
      <c r="X20" s="229"/>
      <c r="Y20" s="229"/>
      <c r="Z20" s="229"/>
      <c r="AA20" s="229"/>
      <c r="AB20" s="229"/>
      <c r="AC20" s="229"/>
      <c r="AD20" s="229"/>
      <c r="AE20" s="229"/>
    </row>
    <row r="21" spans="2:32" ht="16.5" thickTop="1" thickBot="1" x14ac:dyDescent="0.3">
      <c r="B21" s="112" t="s">
        <v>218</v>
      </c>
      <c r="C21" s="113">
        <v>2009</v>
      </c>
      <c r="D21" s="114">
        <v>2013</v>
      </c>
      <c r="E21" s="114">
        <v>2014</v>
      </c>
      <c r="F21" s="114">
        <v>2015</v>
      </c>
      <c r="G21" s="114">
        <v>2016</v>
      </c>
      <c r="H21" s="114">
        <v>2017</v>
      </c>
      <c r="I21" s="115">
        <v>2018</v>
      </c>
      <c r="J21" s="116" t="s">
        <v>74</v>
      </c>
      <c r="K21" s="117" t="s">
        <v>75</v>
      </c>
      <c r="M21" s="146" t="s">
        <v>227</v>
      </c>
      <c r="N21" s="203"/>
      <c r="O21" s="163"/>
      <c r="P21" s="163"/>
      <c r="Q21" s="163"/>
      <c r="R21" s="163">
        <v>1</v>
      </c>
      <c r="S21" s="163">
        <v>2</v>
      </c>
      <c r="T21" s="164">
        <v>2</v>
      </c>
      <c r="U21" s="155">
        <v>5</v>
      </c>
      <c r="V21" s="774"/>
      <c r="X21" s="229"/>
      <c r="Y21" s="229"/>
      <c r="Z21" s="229"/>
      <c r="AA21" s="229"/>
      <c r="AB21" s="229"/>
      <c r="AC21" s="229"/>
      <c r="AD21" s="229"/>
      <c r="AE21" s="229"/>
    </row>
    <row r="22" spans="2:32" ht="16.5" thickTop="1" thickBot="1" x14ac:dyDescent="0.3">
      <c r="B22" s="119" t="s">
        <v>220</v>
      </c>
      <c r="C22" s="120"/>
      <c r="D22" s="121">
        <v>1</v>
      </c>
      <c r="E22" s="121">
        <v>1</v>
      </c>
      <c r="F22" s="121">
        <v>17</v>
      </c>
      <c r="G22" s="121">
        <v>246</v>
      </c>
      <c r="H22" s="121">
        <v>542</v>
      </c>
      <c r="I22" s="122">
        <v>977</v>
      </c>
      <c r="J22" s="123">
        <v>1784</v>
      </c>
      <c r="K22" s="124">
        <f>J22/$J$33</f>
        <v>0.26563430613460393</v>
      </c>
      <c r="L22" s="125"/>
      <c r="M22" s="153" t="s">
        <v>11</v>
      </c>
      <c r="N22" s="204"/>
      <c r="O22" s="161">
        <v>3</v>
      </c>
      <c r="P22" s="161"/>
      <c r="Q22" s="161">
        <v>23</v>
      </c>
      <c r="R22" s="161">
        <v>45</v>
      </c>
      <c r="S22" s="161">
        <v>256</v>
      </c>
      <c r="T22" s="162">
        <v>1143</v>
      </c>
      <c r="U22" s="156">
        <v>1470</v>
      </c>
      <c r="V22" s="694"/>
      <c r="X22" s="229"/>
      <c r="Y22" s="229"/>
      <c r="Z22" s="229"/>
      <c r="AA22" s="229"/>
      <c r="AB22" s="229"/>
      <c r="AC22" s="229"/>
      <c r="AD22" s="229"/>
      <c r="AE22" s="229"/>
    </row>
    <row r="23" spans="2:32" ht="15.75" thickTop="1" x14ac:dyDescent="0.25">
      <c r="B23" s="126" t="s">
        <v>221</v>
      </c>
      <c r="C23" s="127"/>
      <c r="D23" s="128">
        <v>2</v>
      </c>
      <c r="E23" s="128">
        <v>2</v>
      </c>
      <c r="F23" s="128">
        <v>23</v>
      </c>
      <c r="G23" s="128">
        <v>75</v>
      </c>
      <c r="H23" s="128">
        <v>294</v>
      </c>
      <c r="I23" s="129">
        <v>1180</v>
      </c>
      <c r="J23" s="130">
        <v>1576</v>
      </c>
      <c r="K23" s="131">
        <f t="shared" ref="K23:K33" si="1">J23/$J$33</f>
        <v>0.23466349017272187</v>
      </c>
      <c r="L23" s="125"/>
      <c r="M23" s="133" t="s">
        <v>221</v>
      </c>
      <c r="N23" s="202"/>
      <c r="O23" s="128">
        <v>1</v>
      </c>
      <c r="P23" s="128"/>
      <c r="Q23" s="128">
        <v>10</v>
      </c>
      <c r="R23" s="128">
        <v>9</v>
      </c>
      <c r="S23" s="128">
        <v>96</v>
      </c>
      <c r="T23" s="129">
        <v>325</v>
      </c>
      <c r="U23" s="130">
        <v>441</v>
      </c>
      <c r="V23" s="772">
        <f>U22/U65</f>
        <v>0.21888028588445504</v>
      </c>
      <c r="X23" s="229"/>
      <c r="Y23" s="229"/>
      <c r="Z23" s="229"/>
      <c r="AA23" s="229"/>
      <c r="AB23" s="229"/>
      <c r="AC23" s="229"/>
      <c r="AD23" s="229"/>
      <c r="AE23" s="229"/>
    </row>
    <row r="24" spans="2:32" x14ac:dyDescent="0.25">
      <c r="B24" s="126" t="s">
        <v>222</v>
      </c>
      <c r="C24" s="127"/>
      <c r="D24" s="128">
        <v>1</v>
      </c>
      <c r="E24" s="128"/>
      <c r="F24" s="128">
        <v>8</v>
      </c>
      <c r="G24" s="128">
        <v>62</v>
      </c>
      <c r="H24" s="128">
        <v>298</v>
      </c>
      <c r="I24" s="129">
        <v>477</v>
      </c>
      <c r="J24" s="130">
        <v>846</v>
      </c>
      <c r="K24" s="131">
        <f t="shared" si="1"/>
        <v>0.12596783799880881</v>
      </c>
      <c r="L24" s="125"/>
      <c r="M24" s="133" t="s">
        <v>222</v>
      </c>
      <c r="N24" s="202"/>
      <c r="O24" s="128">
        <v>1</v>
      </c>
      <c r="P24" s="128"/>
      <c r="Q24" s="128">
        <v>5</v>
      </c>
      <c r="R24" s="128">
        <v>7</v>
      </c>
      <c r="S24" s="128">
        <v>48</v>
      </c>
      <c r="T24" s="129">
        <v>268</v>
      </c>
      <c r="U24" s="130">
        <v>329</v>
      </c>
      <c r="V24" s="773"/>
      <c r="X24" s="229"/>
      <c r="Y24" s="229"/>
      <c r="Z24" s="229"/>
      <c r="AA24" s="229"/>
      <c r="AB24" s="229"/>
      <c r="AC24" s="229"/>
      <c r="AD24" s="229"/>
      <c r="AE24" s="229"/>
    </row>
    <row r="25" spans="2:32" x14ac:dyDescent="0.25">
      <c r="B25" s="126" t="s">
        <v>227</v>
      </c>
      <c r="C25" s="127"/>
      <c r="D25" s="128"/>
      <c r="E25" s="128"/>
      <c r="F25" s="128">
        <v>1</v>
      </c>
      <c r="G25" s="128">
        <v>15</v>
      </c>
      <c r="H25" s="128">
        <v>34</v>
      </c>
      <c r="I25" s="129">
        <v>432</v>
      </c>
      <c r="J25" s="130">
        <v>482</v>
      </c>
      <c r="K25" s="131">
        <f t="shared" si="1"/>
        <v>7.1768910065515182E-2</v>
      </c>
      <c r="L25" s="125"/>
      <c r="M25" s="133" t="s">
        <v>227</v>
      </c>
      <c r="N25" s="202"/>
      <c r="O25" s="128"/>
      <c r="P25" s="128"/>
      <c r="Q25" s="128">
        <v>1</v>
      </c>
      <c r="R25" s="128">
        <v>9</v>
      </c>
      <c r="S25" s="128">
        <v>32</v>
      </c>
      <c r="T25" s="129">
        <v>267</v>
      </c>
      <c r="U25" s="130">
        <v>309</v>
      </c>
      <c r="V25" s="773"/>
      <c r="X25" s="229"/>
      <c r="Y25" s="229"/>
      <c r="Z25" s="229"/>
      <c r="AA25" s="229"/>
      <c r="AB25" s="229"/>
      <c r="AC25" s="229"/>
      <c r="AD25" s="229"/>
      <c r="AE25" s="229"/>
    </row>
    <row r="26" spans="2:32" x14ac:dyDescent="0.25">
      <c r="B26" s="126" t="s">
        <v>223</v>
      </c>
      <c r="C26" s="127"/>
      <c r="D26" s="128"/>
      <c r="E26" s="128"/>
      <c r="F26" s="128">
        <v>9</v>
      </c>
      <c r="G26" s="128">
        <v>56</v>
      </c>
      <c r="H26" s="128">
        <v>142</v>
      </c>
      <c r="I26" s="129">
        <v>258</v>
      </c>
      <c r="J26" s="130">
        <v>465</v>
      </c>
      <c r="K26" s="131">
        <f>J26/$J$33</f>
        <v>6.9237641453245985E-2</v>
      </c>
      <c r="L26" s="125"/>
      <c r="M26" s="133" t="s">
        <v>225</v>
      </c>
      <c r="N26" s="202"/>
      <c r="O26" s="128"/>
      <c r="P26" s="128"/>
      <c r="Q26" s="128">
        <v>2</v>
      </c>
      <c r="R26" s="128">
        <v>7</v>
      </c>
      <c r="S26" s="128">
        <v>40</v>
      </c>
      <c r="T26" s="129">
        <v>132</v>
      </c>
      <c r="U26" s="130">
        <v>181</v>
      </c>
      <c r="V26" s="773"/>
      <c r="X26" s="229"/>
      <c r="Y26" s="229"/>
      <c r="Z26" s="229"/>
      <c r="AA26" s="229"/>
      <c r="AB26" s="229"/>
      <c r="AC26" s="229"/>
      <c r="AD26" s="229"/>
      <c r="AE26" s="229"/>
    </row>
    <row r="27" spans="2:32" x14ac:dyDescent="0.25">
      <c r="B27" s="126" t="s">
        <v>225</v>
      </c>
      <c r="C27" s="127"/>
      <c r="D27" s="128"/>
      <c r="E27" s="128"/>
      <c r="F27" s="128">
        <v>2</v>
      </c>
      <c r="G27" s="128">
        <v>10</v>
      </c>
      <c r="H27" s="128">
        <v>69</v>
      </c>
      <c r="I27" s="129">
        <v>355</v>
      </c>
      <c r="J27" s="130">
        <v>436</v>
      </c>
      <c r="K27" s="131">
        <f t="shared" si="1"/>
        <v>6.4919594997022032E-2</v>
      </c>
      <c r="L27" s="125"/>
      <c r="M27" s="133" t="s">
        <v>220</v>
      </c>
      <c r="N27" s="202"/>
      <c r="O27" s="128">
        <v>1</v>
      </c>
      <c r="P27" s="128"/>
      <c r="Q27" s="128">
        <v>4</v>
      </c>
      <c r="R27" s="128">
        <v>12</v>
      </c>
      <c r="S27" s="128">
        <v>14</v>
      </c>
      <c r="T27" s="129">
        <v>77</v>
      </c>
      <c r="U27" s="130">
        <v>108</v>
      </c>
      <c r="V27" s="773"/>
      <c r="X27" s="229"/>
      <c r="Y27" s="229"/>
      <c r="Z27" s="229"/>
      <c r="AA27" s="229"/>
      <c r="AB27" s="229"/>
      <c r="AC27" s="229"/>
      <c r="AD27" s="229"/>
      <c r="AE27" s="229"/>
    </row>
    <row r="28" spans="2:32" x14ac:dyDescent="0.25">
      <c r="B28" s="126" t="s">
        <v>224</v>
      </c>
      <c r="C28" s="127"/>
      <c r="D28" s="128"/>
      <c r="E28" s="128"/>
      <c r="F28" s="128">
        <v>2</v>
      </c>
      <c r="G28" s="128">
        <v>13</v>
      </c>
      <c r="H28" s="128">
        <v>74</v>
      </c>
      <c r="I28" s="129">
        <v>324</v>
      </c>
      <c r="J28" s="130">
        <v>413</v>
      </c>
      <c r="K28" s="131">
        <f t="shared" si="1"/>
        <v>6.1494937462775463E-2</v>
      </c>
      <c r="L28" s="125"/>
      <c r="M28" s="133" t="s">
        <v>226</v>
      </c>
      <c r="N28" s="202"/>
      <c r="O28" s="128"/>
      <c r="P28" s="128"/>
      <c r="Q28" s="128">
        <v>1</v>
      </c>
      <c r="R28" s="128"/>
      <c r="S28" s="128">
        <v>11</v>
      </c>
      <c r="T28" s="129">
        <v>28</v>
      </c>
      <c r="U28" s="130">
        <v>40</v>
      </c>
      <c r="V28" s="773"/>
      <c r="X28" s="229"/>
      <c r="Y28" s="229"/>
      <c r="Z28" s="229"/>
      <c r="AA28" s="229"/>
      <c r="AB28" s="229"/>
      <c r="AC28" s="229"/>
      <c r="AD28" s="229"/>
      <c r="AE28" s="229"/>
    </row>
    <row r="29" spans="2:32" x14ac:dyDescent="0.25">
      <c r="B29" s="126" t="s">
        <v>228</v>
      </c>
      <c r="C29" s="127"/>
      <c r="D29" s="128"/>
      <c r="E29" s="128"/>
      <c r="F29" s="128">
        <v>7</v>
      </c>
      <c r="G29" s="128">
        <v>9</v>
      </c>
      <c r="H29" s="128">
        <v>75</v>
      </c>
      <c r="I29" s="129">
        <v>222</v>
      </c>
      <c r="J29" s="130">
        <v>313</v>
      </c>
      <c r="K29" s="131">
        <f t="shared" si="1"/>
        <v>4.6605122096486006E-2</v>
      </c>
      <c r="M29" s="133" t="s">
        <v>223</v>
      </c>
      <c r="N29" s="202"/>
      <c r="O29" s="128"/>
      <c r="P29" s="128"/>
      <c r="Q29" s="128"/>
      <c r="R29" s="128"/>
      <c r="S29" s="128">
        <v>3</v>
      </c>
      <c r="T29" s="129">
        <v>18</v>
      </c>
      <c r="U29" s="130">
        <v>21</v>
      </c>
      <c r="V29" s="773"/>
      <c r="X29" s="229"/>
      <c r="Y29" s="229"/>
      <c r="Z29" s="229"/>
      <c r="AA29" s="229"/>
      <c r="AB29" s="229"/>
      <c r="AC29" s="229"/>
      <c r="AD29" s="229"/>
      <c r="AE29" s="229"/>
    </row>
    <row r="30" spans="2:32" x14ac:dyDescent="0.25">
      <c r="B30" s="126" t="s">
        <v>226</v>
      </c>
      <c r="C30" s="127"/>
      <c r="D30" s="128"/>
      <c r="E30" s="128"/>
      <c r="F30" s="128">
        <v>3</v>
      </c>
      <c r="G30" s="128">
        <v>9</v>
      </c>
      <c r="H30" s="128">
        <v>21</v>
      </c>
      <c r="I30" s="129">
        <v>232</v>
      </c>
      <c r="J30" s="130">
        <v>265</v>
      </c>
      <c r="K30" s="131">
        <f t="shared" si="1"/>
        <v>3.9458010720667062E-2</v>
      </c>
      <c r="M30" s="133" t="s">
        <v>228</v>
      </c>
      <c r="N30" s="202"/>
      <c r="O30" s="128"/>
      <c r="P30" s="128"/>
      <c r="Q30" s="128"/>
      <c r="R30" s="128">
        <v>1</v>
      </c>
      <c r="S30" s="128">
        <v>7</v>
      </c>
      <c r="T30" s="129">
        <v>12</v>
      </c>
      <c r="U30" s="130">
        <v>20</v>
      </c>
      <c r="V30" s="773"/>
      <c r="X30" s="229"/>
      <c r="Y30" s="229"/>
      <c r="Z30" s="229"/>
      <c r="AA30" s="229"/>
      <c r="AB30" s="229"/>
      <c r="AC30" s="229"/>
      <c r="AD30" s="229"/>
      <c r="AE30" s="229"/>
      <c r="AF30" s="229"/>
    </row>
    <row r="31" spans="2:32" x14ac:dyDescent="0.25">
      <c r="B31" s="126" t="s">
        <v>229</v>
      </c>
      <c r="C31" s="127"/>
      <c r="D31" s="128"/>
      <c r="E31" s="128"/>
      <c r="F31" s="128">
        <v>2</v>
      </c>
      <c r="G31" s="128">
        <v>4</v>
      </c>
      <c r="H31" s="128">
        <v>17</v>
      </c>
      <c r="I31" s="129">
        <v>56</v>
      </c>
      <c r="J31" s="130">
        <v>79</v>
      </c>
      <c r="K31" s="131">
        <f t="shared" si="1"/>
        <v>1.1762954139368672E-2</v>
      </c>
      <c r="M31" s="133" t="s">
        <v>229</v>
      </c>
      <c r="N31" s="202"/>
      <c r="O31" s="128"/>
      <c r="P31" s="128"/>
      <c r="Q31" s="128"/>
      <c r="R31" s="128"/>
      <c r="S31" s="128">
        <v>5</v>
      </c>
      <c r="T31" s="129">
        <v>13</v>
      </c>
      <c r="U31" s="130">
        <v>18</v>
      </c>
      <c r="V31" s="773"/>
      <c r="X31" s="229"/>
      <c r="Y31" s="229"/>
      <c r="Z31" s="229"/>
      <c r="AA31" s="229"/>
      <c r="AB31" s="229"/>
      <c r="AC31" s="229"/>
      <c r="AD31" s="229"/>
      <c r="AE31" s="229"/>
      <c r="AF31" s="229"/>
    </row>
    <row r="32" spans="2:32" ht="15.75" thickBot="1" x14ac:dyDescent="0.3">
      <c r="B32" s="134" t="s">
        <v>230</v>
      </c>
      <c r="C32" s="135"/>
      <c r="D32" s="136"/>
      <c r="E32" s="136"/>
      <c r="F32" s="136">
        <v>8</v>
      </c>
      <c r="G32" s="136">
        <v>8</v>
      </c>
      <c r="H32" s="136">
        <v>11</v>
      </c>
      <c r="I32" s="137">
        <v>30</v>
      </c>
      <c r="J32" s="138">
        <v>57</v>
      </c>
      <c r="K32" s="139">
        <f t="shared" si="1"/>
        <v>8.4871947587849914E-3</v>
      </c>
      <c r="M32" s="133" t="s">
        <v>224</v>
      </c>
      <c r="N32" s="202"/>
      <c r="O32" s="128"/>
      <c r="P32" s="128"/>
      <c r="Q32" s="128"/>
      <c r="R32" s="128"/>
      <c r="S32" s="128"/>
      <c r="T32" s="129">
        <v>3</v>
      </c>
      <c r="U32" s="130">
        <v>3</v>
      </c>
      <c r="V32" s="774"/>
      <c r="X32" s="229"/>
      <c r="Y32" s="229"/>
      <c r="Z32" s="229"/>
      <c r="AA32" s="229"/>
      <c r="AB32" s="229"/>
      <c r="AC32" s="229"/>
      <c r="AD32" s="229"/>
      <c r="AE32" s="229"/>
      <c r="AF32" s="229"/>
    </row>
    <row r="33" spans="2:32" ht="16.5" thickTop="1" thickBot="1" x14ac:dyDescent="0.3">
      <c r="B33" s="140" t="s">
        <v>74</v>
      </c>
      <c r="C33" s="141"/>
      <c r="D33" s="142">
        <v>4</v>
      </c>
      <c r="E33" s="142">
        <v>3</v>
      </c>
      <c r="F33" s="142">
        <v>82</v>
      </c>
      <c r="G33" s="142">
        <v>507</v>
      </c>
      <c r="H33" s="142">
        <v>1577</v>
      </c>
      <c r="I33" s="143">
        <v>4543</v>
      </c>
      <c r="J33" s="144">
        <v>6716</v>
      </c>
      <c r="K33" s="145">
        <f t="shared" si="1"/>
        <v>1</v>
      </c>
      <c r="M33" s="153" t="s">
        <v>13</v>
      </c>
      <c r="N33" s="204"/>
      <c r="O33" s="161"/>
      <c r="P33" s="161"/>
      <c r="Q33" s="161">
        <v>9</v>
      </c>
      <c r="R33" s="161">
        <v>103</v>
      </c>
      <c r="S33" s="161">
        <v>392</v>
      </c>
      <c r="T33" s="162">
        <v>851</v>
      </c>
      <c r="U33" s="156">
        <v>1355</v>
      </c>
      <c r="V33" s="694"/>
      <c r="X33" s="229"/>
      <c r="Y33" s="229"/>
      <c r="Z33" s="229"/>
      <c r="AA33" s="229"/>
      <c r="AB33" s="229"/>
      <c r="AC33" s="229"/>
      <c r="AD33" s="229"/>
      <c r="AE33" s="229"/>
      <c r="AF33" s="229"/>
    </row>
    <row r="34" spans="2:32" ht="15.75" thickTop="1" x14ac:dyDescent="0.25">
      <c r="M34" s="133" t="s">
        <v>222</v>
      </c>
      <c r="N34" s="202"/>
      <c r="O34" s="128"/>
      <c r="P34" s="128"/>
      <c r="Q34" s="128">
        <v>2</v>
      </c>
      <c r="R34" s="128">
        <v>51</v>
      </c>
      <c r="S34" s="128">
        <v>237</v>
      </c>
      <c r="T34" s="129">
        <v>187</v>
      </c>
      <c r="U34" s="130">
        <v>477</v>
      </c>
      <c r="V34" s="772">
        <f>U33/U65</f>
        <v>0.20175699821322216</v>
      </c>
      <c r="X34" s="229"/>
      <c r="Y34" s="229"/>
      <c r="Z34" s="229"/>
      <c r="AA34" s="229"/>
      <c r="AB34" s="229"/>
      <c r="AC34" s="229"/>
      <c r="AD34" s="229"/>
      <c r="AE34" s="229"/>
      <c r="AF34" s="229"/>
    </row>
    <row r="35" spans="2:32" x14ac:dyDescent="0.25">
      <c r="M35" s="133" t="s">
        <v>221</v>
      </c>
      <c r="N35" s="202"/>
      <c r="O35" s="128"/>
      <c r="P35" s="128"/>
      <c r="Q35" s="128">
        <v>4</v>
      </c>
      <c r="R35" s="128">
        <v>31</v>
      </c>
      <c r="S35" s="128">
        <v>77</v>
      </c>
      <c r="T35" s="129">
        <v>341</v>
      </c>
      <c r="U35" s="130">
        <v>453</v>
      </c>
      <c r="V35" s="773"/>
      <c r="X35" s="229"/>
      <c r="Y35" s="229"/>
      <c r="Z35" s="229"/>
      <c r="AA35" s="229"/>
      <c r="AB35" s="229"/>
      <c r="AC35" s="229"/>
      <c r="AD35" s="229"/>
      <c r="AE35" s="229"/>
      <c r="AF35" s="229"/>
    </row>
    <row r="36" spans="2:32" x14ac:dyDescent="0.25">
      <c r="M36" s="133" t="s">
        <v>227</v>
      </c>
      <c r="N36" s="202"/>
      <c r="O36" s="128"/>
      <c r="P36" s="128"/>
      <c r="Q36" s="128"/>
      <c r="R36" s="128">
        <v>5</v>
      </c>
      <c r="S36" s="128"/>
      <c r="T36" s="129">
        <v>162</v>
      </c>
      <c r="U36" s="130">
        <v>167</v>
      </c>
      <c r="V36" s="773"/>
      <c r="X36" s="229"/>
      <c r="Y36" s="229"/>
      <c r="Z36" s="229"/>
      <c r="AA36" s="229"/>
      <c r="AB36" s="229"/>
      <c r="AC36" s="229"/>
      <c r="AD36" s="229"/>
      <c r="AE36" s="229"/>
      <c r="AF36" s="229"/>
    </row>
    <row r="37" spans="2:32" x14ac:dyDescent="0.25">
      <c r="M37" s="133" t="s">
        <v>223</v>
      </c>
      <c r="N37" s="202"/>
      <c r="O37" s="128"/>
      <c r="P37" s="128"/>
      <c r="Q37" s="128">
        <v>1</v>
      </c>
      <c r="R37" s="128">
        <v>4</v>
      </c>
      <c r="S37" s="128">
        <v>28</v>
      </c>
      <c r="T37" s="129">
        <v>55</v>
      </c>
      <c r="U37" s="130">
        <v>88</v>
      </c>
      <c r="V37" s="773"/>
      <c r="X37" s="229"/>
      <c r="Y37" s="229"/>
      <c r="Z37" s="229"/>
      <c r="AA37" s="229"/>
      <c r="AB37" s="229"/>
      <c r="AC37" s="229"/>
      <c r="AD37" s="229"/>
      <c r="AE37" s="229"/>
      <c r="AF37" s="229"/>
    </row>
    <row r="38" spans="2:32" x14ac:dyDescent="0.25">
      <c r="M38" s="133" t="s">
        <v>228</v>
      </c>
      <c r="N38" s="202"/>
      <c r="O38" s="128"/>
      <c r="P38" s="128"/>
      <c r="Q38" s="128">
        <v>1</v>
      </c>
      <c r="R38" s="128">
        <v>4</v>
      </c>
      <c r="S38" s="128">
        <v>39</v>
      </c>
      <c r="T38" s="129">
        <v>32</v>
      </c>
      <c r="U38" s="130">
        <v>76</v>
      </c>
      <c r="V38" s="773"/>
      <c r="X38" s="229"/>
      <c r="Y38" s="229"/>
      <c r="Z38" s="229"/>
      <c r="AA38" s="229"/>
      <c r="AB38" s="229"/>
      <c r="AC38" s="229"/>
      <c r="AD38" s="229"/>
      <c r="AE38" s="229"/>
      <c r="AF38" s="229"/>
    </row>
    <row r="39" spans="2:32" x14ac:dyDescent="0.25">
      <c r="M39" s="133" t="s">
        <v>225</v>
      </c>
      <c r="N39" s="202"/>
      <c r="O39" s="128"/>
      <c r="P39" s="128"/>
      <c r="Q39" s="128"/>
      <c r="R39" s="128">
        <v>1</v>
      </c>
      <c r="S39" s="128">
        <v>8</v>
      </c>
      <c r="T39" s="129">
        <v>63</v>
      </c>
      <c r="U39" s="130">
        <v>72</v>
      </c>
      <c r="V39" s="773"/>
      <c r="X39" s="229"/>
      <c r="Y39" s="229"/>
      <c r="Z39" s="229"/>
      <c r="AA39" s="229"/>
      <c r="AB39" s="229"/>
      <c r="AC39" s="229"/>
      <c r="AD39" s="229"/>
      <c r="AE39" s="229"/>
      <c r="AF39" s="229"/>
    </row>
    <row r="40" spans="2:32" x14ac:dyDescent="0.25">
      <c r="M40" s="133" t="s">
        <v>226</v>
      </c>
      <c r="N40" s="202"/>
      <c r="O40" s="128"/>
      <c r="P40" s="128"/>
      <c r="Q40" s="128"/>
      <c r="R40" s="128">
        <v>4</v>
      </c>
      <c r="S40" s="128">
        <v>2</v>
      </c>
      <c r="T40" s="129">
        <v>3</v>
      </c>
      <c r="U40" s="130">
        <v>9</v>
      </c>
      <c r="V40" s="773"/>
      <c r="X40" s="229"/>
      <c r="Y40" s="229"/>
      <c r="Z40" s="229"/>
      <c r="AA40" s="229"/>
      <c r="AB40" s="229"/>
      <c r="AC40" s="229"/>
      <c r="AD40" s="229"/>
      <c r="AE40" s="229"/>
      <c r="AF40" s="229"/>
    </row>
    <row r="41" spans="2:32" x14ac:dyDescent="0.25">
      <c r="M41" s="133" t="s">
        <v>230</v>
      </c>
      <c r="N41" s="202"/>
      <c r="O41" s="128"/>
      <c r="P41" s="128"/>
      <c r="Q41" s="128">
        <v>1</v>
      </c>
      <c r="R41" s="128">
        <v>3</v>
      </c>
      <c r="S41" s="128">
        <v>1</v>
      </c>
      <c r="T41" s="129">
        <v>3</v>
      </c>
      <c r="U41" s="130">
        <v>8</v>
      </c>
      <c r="V41" s="773"/>
      <c r="X41" s="229"/>
      <c r="Y41" s="229"/>
      <c r="Z41" s="229"/>
      <c r="AA41" s="229"/>
      <c r="AB41" s="229"/>
      <c r="AC41" s="229"/>
      <c r="AD41" s="229"/>
      <c r="AE41" s="229"/>
      <c r="AF41" s="229"/>
    </row>
    <row r="42" spans="2:32" ht="15.75" thickBot="1" x14ac:dyDescent="0.3">
      <c r="M42" s="133" t="s">
        <v>229</v>
      </c>
      <c r="N42" s="202"/>
      <c r="O42" s="128"/>
      <c r="P42" s="128"/>
      <c r="Q42" s="128"/>
      <c r="R42" s="128"/>
      <c r="S42" s="128"/>
      <c r="T42" s="129">
        <v>5</v>
      </c>
      <c r="U42" s="130">
        <v>5</v>
      </c>
      <c r="V42" s="774"/>
      <c r="X42" s="229"/>
      <c r="Y42" s="229"/>
      <c r="Z42" s="229"/>
      <c r="AA42" s="229"/>
      <c r="AB42" s="229"/>
      <c r="AC42" s="229"/>
      <c r="AD42" s="229"/>
      <c r="AE42" s="229"/>
      <c r="AF42" s="229"/>
    </row>
    <row r="43" spans="2:32" ht="16.5" thickTop="1" thickBot="1" x14ac:dyDescent="0.3">
      <c r="M43" s="153" t="s">
        <v>10</v>
      </c>
      <c r="N43" s="204"/>
      <c r="O43" s="161"/>
      <c r="P43" s="161"/>
      <c r="Q43" s="161">
        <v>1</v>
      </c>
      <c r="R43" s="161">
        <v>9</v>
      </c>
      <c r="S43" s="161">
        <v>97</v>
      </c>
      <c r="T43" s="162">
        <v>294</v>
      </c>
      <c r="U43" s="156">
        <v>401</v>
      </c>
      <c r="V43" s="694"/>
      <c r="X43" s="229"/>
      <c r="Y43" s="229"/>
      <c r="Z43" s="229"/>
      <c r="AA43" s="229"/>
      <c r="AB43" s="229"/>
      <c r="AC43" s="229"/>
      <c r="AD43" s="229"/>
      <c r="AE43" s="229"/>
      <c r="AF43" s="229"/>
    </row>
    <row r="44" spans="2:32" ht="15.75" thickTop="1" x14ac:dyDescent="0.25">
      <c r="M44" s="133" t="s">
        <v>221</v>
      </c>
      <c r="N44" s="202"/>
      <c r="O44" s="128"/>
      <c r="P44" s="128"/>
      <c r="Q44" s="128"/>
      <c r="R44" s="128">
        <v>5</v>
      </c>
      <c r="S44" s="128">
        <v>48</v>
      </c>
      <c r="T44" s="129">
        <v>176</v>
      </c>
      <c r="U44" s="130">
        <v>229</v>
      </c>
      <c r="V44" s="772">
        <f>U43/U65</f>
        <v>5.9708159618820728E-2</v>
      </c>
      <c r="X44" s="229"/>
      <c r="Y44" s="229"/>
      <c r="Z44" s="229"/>
      <c r="AA44" s="229"/>
      <c r="AB44" s="229"/>
      <c r="AC44" s="229"/>
      <c r="AD44" s="229"/>
      <c r="AE44" s="229"/>
      <c r="AF44" s="229"/>
    </row>
    <row r="45" spans="2:32" x14ac:dyDescent="0.25">
      <c r="M45" s="133" t="s">
        <v>223</v>
      </c>
      <c r="N45" s="202"/>
      <c r="O45" s="128"/>
      <c r="P45" s="128"/>
      <c r="Q45" s="128">
        <v>1</v>
      </c>
      <c r="R45" s="128">
        <v>3</v>
      </c>
      <c r="S45" s="128">
        <v>26</v>
      </c>
      <c r="T45" s="129">
        <v>36</v>
      </c>
      <c r="U45" s="130">
        <v>66</v>
      </c>
      <c r="V45" s="773"/>
      <c r="X45" s="229"/>
      <c r="Y45" s="229"/>
      <c r="Z45" s="229"/>
      <c r="AA45" s="229"/>
      <c r="AB45" s="229"/>
      <c r="AC45" s="229"/>
      <c r="AD45" s="229"/>
      <c r="AE45" s="229"/>
      <c r="AF45" s="229"/>
    </row>
    <row r="46" spans="2:32" x14ac:dyDescent="0.25">
      <c r="M46" s="133" t="s">
        <v>225</v>
      </c>
      <c r="N46" s="202"/>
      <c r="O46" s="128"/>
      <c r="P46" s="128"/>
      <c r="Q46" s="128"/>
      <c r="R46" s="128"/>
      <c r="S46" s="128">
        <v>9</v>
      </c>
      <c r="T46" s="129">
        <v>36</v>
      </c>
      <c r="U46" s="130">
        <v>45</v>
      </c>
      <c r="V46" s="773"/>
      <c r="X46" s="229"/>
      <c r="Y46" s="229"/>
      <c r="Z46" s="229"/>
      <c r="AA46" s="229"/>
      <c r="AB46" s="229"/>
      <c r="AC46" s="229"/>
      <c r="AD46" s="229"/>
      <c r="AE46" s="229"/>
      <c r="AF46" s="229"/>
    </row>
    <row r="47" spans="2:32" x14ac:dyDescent="0.25">
      <c r="M47" s="133" t="s">
        <v>220</v>
      </c>
      <c r="N47" s="202"/>
      <c r="O47" s="128"/>
      <c r="P47" s="128"/>
      <c r="Q47" s="128"/>
      <c r="R47" s="128">
        <v>1</v>
      </c>
      <c r="S47" s="128">
        <v>8</v>
      </c>
      <c r="T47" s="129">
        <v>24</v>
      </c>
      <c r="U47" s="130">
        <v>33</v>
      </c>
      <c r="V47" s="773"/>
      <c r="X47" s="229"/>
      <c r="Y47" s="229"/>
      <c r="Z47" s="229"/>
      <c r="AA47" s="229"/>
      <c r="AB47" s="229"/>
      <c r="AC47" s="229"/>
      <c r="AD47" s="229"/>
      <c r="AE47" s="229"/>
      <c r="AF47" s="229"/>
    </row>
    <row r="48" spans="2:32" x14ac:dyDescent="0.25">
      <c r="M48" s="133" t="s">
        <v>226</v>
      </c>
      <c r="N48" s="202"/>
      <c r="O48" s="128"/>
      <c r="P48" s="128"/>
      <c r="Q48" s="128"/>
      <c r="R48" s="128"/>
      <c r="S48" s="128">
        <v>3</v>
      </c>
      <c r="T48" s="129">
        <v>14</v>
      </c>
      <c r="U48" s="130">
        <v>17</v>
      </c>
      <c r="V48" s="773"/>
      <c r="X48" s="229"/>
      <c r="Y48" s="229"/>
      <c r="Z48" s="229"/>
      <c r="AA48" s="229"/>
      <c r="AB48" s="229"/>
      <c r="AC48" s="229"/>
      <c r="AD48" s="229"/>
      <c r="AE48" s="229"/>
      <c r="AF48" s="229"/>
    </row>
    <row r="49" spans="13:32" x14ac:dyDescent="0.25">
      <c r="M49" s="133" t="s">
        <v>224</v>
      </c>
      <c r="N49" s="202"/>
      <c r="O49" s="128"/>
      <c r="P49" s="128"/>
      <c r="Q49" s="128"/>
      <c r="R49" s="128"/>
      <c r="S49" s="128">
        <v>1</v>
      </c>
      <c r="T49" s="129">
        <v>5</v>
      </c>
      <c r="U49" s="130">
        <v>6</v>
      </c>
      <c r="V49" s="773"/>
      <c r="X49" s="229"/>
      <c r="Y49" s="229"/>
      <c r="Z49" s="229"/>
      <c r="AA49" s="229"/>
      <c r="AB49" s="229"/>
      <c r="AC49" s="229"/>
      <c r="AD49" s="229"/>
      <c r="AE49" s="229"/>
      <c r="AF49" s="229"/>
    </row>
    <row r="50" spans="13:32" x14ac:dyDescent="0.25">
      <c r="M50" s="133" t="s">
        <v>229</v>
      </c>
      <c r="N50" s="202"/>
      <c r="O50" s="128"/>
      <c r="P50" s="128"/>
      <c r="Q50" s="128"/>
      <c r="R50" s="128"/>
      <c r="S50" s="128"/>
      <c r="T50" s="129">
        <v>2</v>
      </c>
      <c r="U50" s="130">
        <v>2</v>
      </c>
      <c r="V50" s="773"/>
      <c r="X50" s="229"/>
      <c r="Y50" s="229"/>
      <c r="Z50" s="229"/>
      <c r="AA50" s="229"/>
      <c r="AB50" s="229"/>
      <c r="AC50" s="229"/>
      <c r="AD50" s="229"/>
      <c r="AE50" s="229"/>
      <c r="AF50" s="229"/>
    </row>
    <row r="51" spans="13:32" x14ac:dyDescent="0.25">
      <c r="M51" s="133" t="s">
        <v>222</v>
      </c>
      <c r="N51" s="202"/>
      <c r="O51" s="128"/>
      <c r="P51" s="128"/>
      <c r="Q51" s="128"/>
      <c r="R51" s="128"/>
      <c r="S51" s="128">
        <v>2</v>
      </c>
      <c r="T51" s="129"/>
      <c r="U51" s="130">
        <v>2</v>
      </c>
      <c r="V51" s="773"/>
      <c r="X51" s="229"/>
      <c r="Y51" s="229"/>
      <c r="Z51" s="229"/>
      <c r="AA51" s="229"/>
      <c r="AB51" s="229"/>
      <c r="AC51" s="229"/>
      <c r="AD51" s="229"/>
      <c r="AE51" s="229"/>
      <c r="AF51" s="229"/>
    </row>
    <row r="52" spans="13:32" ht="15.75" thickBot="1" x14ac:dyDescent="0.3">
      <c r="M52" s="146" t="s">
        <v>227</v>
      </c>
      <c r="N52" s="203"/>
      <c r="O52" s="163"/>
      <c r="P52" s="163"/>
      <c r="Q52" s="163"/>
      <c r="R52" s="163"/>
      <c r="S52" s="163"/>
      <c r="T52" s="164">
        <v>1</v>
      </c>
      <c r="U52" s="155">
        <v>1</v>
      </c>
      <c r="V52" s="774"/>
      <c r="X52" s="229"/>
      <c r="Y52" s="229"/>
      <c r="Z52" s="229"/>
      <c r="AA52" s="229"/>
      <c r="AB52" s="229"/>
      <c r="AC52" s="229"/>
      <c r="AD52" s="229"/>
      <c r="AE52" s="229"/>
      <c r="AF52" s="229"/>
    </row>
    <row r="53" spans="13:32" ht="16.5" thickTop="1" thickBot="1" x14ac:dyDescent="0.3">
      <c r="M53" s="153" t="s">
        <v>233</v>
      </c>
      <c r="N53" s="204"/>
      <c r="O53" s="161"/>
      <c r="P53" s="161"/>
      <c r="Q53" s="161"/>
      <c r="R53" s="161"/>
      <c r="S53" s="161"/>
      <c r="T53" s="162">
        <v>54</v>
      </c>
      <c r="U53" s="156">
        <v>54</v>
      </c>
      <c r="V53" s="694"/>
      <c r="X53" s="229"/>
      <c r="Y53" s="229"/>
      <c r="Z53" s="229"/>
      <c r="AA53" s="229"/>
      <c r="AB53" s="229"/>
      <c r="AC53" s="229"/>
      <c r="AD53" s="229"/>
      <c r="AE53" s="229"/>
      <c r="AF53" s="229"/>
    </row>
    <row r="54" spans="13:32" ht="16.5" thickTop="1" thickBot="1" x14ac:dyDescent="0.3">
      <c r="M54" s="146" t="s">
        <v>226</v>
      </c>
      <c r="N54" s="203"/>
      <c r="O54" s="163"/>
      <c r="P54" s="163"/>
      <c r="Q54" s="163"/>
      <c r="R54" s="163"/>
      <c r="S54" s="163"/>
      <c r="T54" s="164">
        <v>54</v>
      </c>
      <c r="U54" s="155">
        <v>54</v>
      </c>
      <c r="V54" s="266">
        <f>U53/U65</f>
        <v>8.0405002977963075E-3</v>
      </c>
      <c r="X54" s="229"/>
      <c r="Y54" s="229"/>
      <c r="Z54" s="229"/>
      <c r="AA54" s="229"/>
      <c r="AB54" s="229"/>
      <c r="AC54" s="229"/>
      <c r="AD54" s="229"/>
      <c r="AE54" s="229"/>
      <c r="AF54" s="229"/>
    </row>
    <row r="55" spans="13:32" ht="16.5" thickTop="1" thickBot="1" x14ac:dyDescent="0.3">
      <c r="M55" s="153" t="s">
        <v>351</v>
      </c>
      <c r="N55" s="204"/>
      <c r="O55" s="161"/>
      <c r="P55" s="161"/>
      <c r="Q55" s="161"/>
      <c r="R55" s="161"/>
      <c r="S55" s="161"/>
      <c r="T55" s="162">
        <v>18</v>
      </c>
      <c r="U55" s="156">
        <v>18</v>
      </c>
      <c r="V55" s="694"/>
      <c r="X55" s="229"/>
      <c r="Y55" s="229"/>
      <c r="Z55" s="229"/>
      <c r="AA55" s="229"/>
      <c r="AB55" s="229"/>
      <c r="AC55" s="229"/>
      <c r="AD55" s="229"/>
      <c r="AE55" s="229"/>
      <c r="AF55" s="229"/>
    </row>
    <row r="56" spans="13:32" ht="16.5" thickTop="1" thickBot="1" x14ac:dyDescent="0.3">
      <c r="M56" s="146" t="s">
        <v>226</v>
      </c>
      <c r="N56" s="203"/>
      <c r="O56" s="163"/>
      <c r="P56" s="163"/>
      <c r="Q56" s="163"/>
      <c r="R56" s="163"/>
      <c r="S56" s="163"/>
      <c r="T56" s="164">
        <v>18</v>
      </c>
      <c r="U56" s="155">
        <v>18</v>
      </c>
      <c r="V56" s="266">
        <f>U55/U65</f>
        <v>2.6801667659321023E-3</v>
      </c>
      <c r="X56" s="229"/>
      <c r="Y56" s="229"/>
      <c r="Z56" s="229"/>
      <c r="AA56" s="229"/>
      <c r="AB56" s="229"/>
      <c r="AC56" s="229"/>
      <c r="AD56" s="229"/>
      <c r="AE56" s="229"/>
      <c r="AF56" s="229"/>
    </row>
    <row r="57" spans="13:32" ht="16.5" thickTop="1" thickBot="1" x14ac:dyDescent="0.3">
      <c r="M57" s="153" t="s">
        <v>427</v>
      </c>
      <c r="N57" s="204"/>
      <c r="O57" s="161"/>
      <c r="P57" s="161"/>
      <c r="Q57" s="161"/>
      <c r="R57" s="161"/>
      <c r="S57" s="161"/>
      <c r="T57" s="162">
        <v>16</v>
      </c>
      <c r="U57" s="156">
        <v>16</v>
      </c>
      <c r="X57" s="229"/>
      <c r="Y57" s="229"/>
      <c r="Z57" s="229"/>
      <c r="AA57" s="229"/>
      <c r="AB57" s="229"/>
      <c r="AC57" s="229"/>
      <c r="AD57" s="229"/>
      <c r="AE57" s="229"/>
      <c r="AF57" s="229"/>
    </row>
    <row r="58" spans="13:32" ht="16.5" thickTop="1" thickBot="1" x14ac:dyDescent="0.3">
      <c r="M58" s="146" t="s">
        <v>226</v>
      </c>
      <c r="N58" s="203"/>
      <c r="O58" s="163"/>
      <c r="P58" s="163"/>
      <c r="Q58" s="163"/>
      <c r="R58" s="163"/>
      <c r="S58" s="163"/>
      <c r="T58" s="164">
        <v>16</v>
      </c>
      <c r="U58" s="155">
        <v>16</v>
      </c>
      <c r="V58" s="266">
        <f>U57/U65</f>
        <v>2.3823704586063135E-3</v>
      </c>
      <c r="X58" s="229"/>
      <c r="Y58" s="229"/>
      <c r="Z58" s="229"/>
      <c r="AA58" s="229"/>
      <c r="AB58" s="229"/>
      <c r="AC58" s="229"/>
      <c r="AD58" s="229"/>
      <c r="AE58" s="229"/>
      <c r="AF58" s="229"/>
    </row>
    <row r="59" spans="13:32" ht="16.5" thickTop="1" thickBot="1" x14ac:dyDescent="0.3">
      <c r="M59" s="153" t="s">
        <v>431</v>
      </c>
      <c r="N59" s="204"/>
      <c r="O59" s="161"/>
      <c r="P59" s="161"/>
      <c r="Q59" s="161"/>
      <c r="R59" s="161"/>
      <c r="S59" s="161"/>
      <c r="T59" s="162">
        <v>7</v>
      </c>
      <c r="U59" s="156">
        <v>7</v>
      </c>
      <c r="X59" s="229"/>
      <c r="Y59" s="229"/>
      <c r="Z59" s="229"/>
      <c r="AA59" s="229"/>
      <c r="AB59" s="229"/>
      <c r="AC59" s="229"/>
      <c r="AD59" s="229"/>
      <c r="AE59" s="229"/>
      <c r="AF59" s="229"/>
    </row>
    <row r="60" spans="13:32" ht="16.5" thickTop="1" thickBot="1" x14ac:dyDescent="0.3">
      <c r="M60" s="146" t="s">
        <v>226</v>
      </c>
      <c r="N60" s="203"/>
      <c r="O60" s="163"/>
      <c r="P60" s="163"/>
      <c r="Q60" s="163"/>
      <c r="R60" s="163"/>
      <c r="S60" s="163"/>
      <c r="T60" s="164">
        <v>7</v>
      </c>
      <c r="U60" s="155">
        <v>7</v>
      </c>
      <c r="V60" s="266">
        <f>U59/U65</f>
        <v>1.0422870756402621E-3</v>
      </c>
      <c r="X60" s="229"/>
      <c r="Y60" s="229"/>
      <c r="Z60" s="229"/>
      <c r="AA60" s="229"/>
      <c r="AB60" s="229"/>
      <c r="AC60" s="229"/>
      <c r="AD60" s="229"/>
      <c r="AE60" s="229"/>
      <c r="AF60" s="229"/>
    </row>
    <row r="61" spans="13:32" ht="16.5" thickTop="1" thickBot="1" x14ac:dyDescent="0.3">
      <c r="M61" s="153" t="s">
        <v>432</v>
      </c>
      <c r="N61" s="204"/>
      <c r="O61" s="161"/>
      <c r="P61" s="161"/>
      <c r="Q61" s="161"/>
      <c r="R61" s="161"/>
      <c r="S61" s="161"/>
      <c r="T61" s="162">
        <v>5</v>
      </c>
      <c r="U61" s="156">
        <v>5</v>
      </c>
      <c r="X61" s="229"/>
      <c r="Y61" s="229"/>
      <c r="Z61" s="229"/>
      <c r="AA61" s="229"/>
      <c r="AB61" s="229"/>
      <c r="AC61" s="229"/>
      <c r="AD61" s="229"/>
      <c r="AE61" s="229"/>
      <c r="AF61" s="229"/>
    </row>
    <row r="62" spans="13:32" ht="16.5" thickTop="1" thickBot="1" x14ac:dyDescent="0.3">
      <c r="M62" s="146" t="s">
        <v>226</v>
      </c>
      <c r="N62" s="203"/>
      <c r="O62" s="163"/>
      <c r="P62" s="163"/>
      <c r="Q62" s="163"/>
      <c r="R62" s="163"/>
      <c r="S62" s="163"/>
      <c r="T62" s="164">
        <v>5</v>
      </c>
      <c r="U62" s="155">
        <v>5</v>
      </c>
      <c r="V62" s="266">
        <f>U61/U65</f>
        <v>7.4449076831447291E-4</v>
      </c>
      <c r="X62" s="229"/>
      <c r="Y62" s="229"/>
      <c r="Z62" s="229"/>
      <c r="AA62" s="229"/>
      <c r="AB62" s="229"/>
      <c r="AC62" s="229"/>
      <c r="AD62" s="229"/>
      <c r="AE62" s="229"/>
      <c r="AF62" s="229"/>
    </row>
    <row r="63" spans="13:32" ht="16.5" thickTop="1" thickBot="1" x14ac:dyDescent="0.3">
      <c r="M63" s="153" t="s">
        <v>433</v>
      </c>
      <c r="N63" s="204"/>
      <c r="O63" s="161"/>
      <c r="P63" s="161"/>
      <c r="Q63" s="161"/>
      <c r="R63" s="161"/>
      <c r="S63" s="161"/>
      <c r="T63" s="162">
        <v>3</v>
      </c>
      <c r="U63" s="156">
        <v>3</v>
      </c>
      <c r="X63" s="229"/>
      <c r="Y63" s="229"/>
      <c r="Z63" s="229"/>
      <c r="AA63" s="229"/>
      <c r="AB63" s="229"/>
      <c r="AC63" s="229"/>
      <c r="AD63" s="229"/>
      <c r="AE63" s="229"/>
      <c r="AF63" s="229"/>
    </row>
    <row r="64" spans="13:32" ht="16.5" thickTop="1" thickBot="1" x14ac:dyDescent="0.3">
      <c r="M64" s="146" t="s">
        <v>226</v>
      </c>
      <c r="N64" s="203"/>
      <c r="O64" s="163"/>
      <c r="P64" s="163"/>
      <c r="Q64" s="163"/>
      <c r="R64" s="163"/>
      <c r="S64" s="163"/>
      <c r="T64" s="164">
        <v>3</v>
      </c>
      <c r="U64" s="155">
        <v>3</v>
      </c>
      <c r="V64" s="266">
        <f>U63/U65</f>
        <v>4.4669446098868372E-4</v>
      </c>
      <c r="X64" s="229"/>
      <c r="Y64" s="229"/>
      <c r="Z64" s="229"/>
      <c r="AA64" s="229"/>
      <c r="AB64" s="229"/>
      <c r="AC64" s="229"/>
      <c r="AD64" s="229"/>
      <c r="AE64" s="229"/>
      <c r="AF64" s="229"/>
    </row>
    <row r="65" spans="13:32" ht="16.5" thickTop="1" thickBot="1" x14ac:dyDescent="0.3">
      <c r="M65" s="152" t="s">
        <v>74</v>
      </c>
      <c r="N65" s="262"/>
      <c r="O65" s="263">
        <v>4</v>
      </c>
      <c r="P65" s="263">
        <v>3</v>
      </c>
      <c r="Q65" s="263">
        <v>82</v>
      </c>
      <c r="R65" s="263">
        <v>507</v>
      </c>
      <c r="S65" s="263">
        <v>1577</v>
      </c>
      <c r="T65" s="264">
        <v>4543</v>
      </c>
      <c r="U65" s="265">
        <v>6716</v>
      </c>
      <c r="X65" s="229"/>
      <c r="Y65" s="229"/>
      <c r="Z65" s="229"/>
      <c r="AA65" s="229"/>
      <c r="AB65" s="229"/>
      <c r="AC65" s="229"/>
      <c r="AD65" s="229"/>
      <c r="AE65" s="229"/>
      <c r="AF65" s="229"/>
    </row>
    <row r="66" spans="13:32" ht="15.75" thickTop="1" x14ac:dyDescent="0.25"/>
  </sheetData>
  <mergeCells count="6">
    <mergeCell ref="V44:V52"/>
    <mergeCell ref="B6:K6"/>
    <mergeCell ref="M6:V6"/>
    <mergeCell ref="V11:V21"/>
    <mergeCell ref="V34:V42"/>
    <mergeCell ref="V23:V3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CCC"/>
  </sheetPr>
  <dimension ref="A1:Y44"/>
  <sheetViews>
    <sheetView zoomScale="40" zoomScaleNormal="40" workbookViewId="0">
      <selection activeCell="AB32" sqref="AB32"/>
    </sheetView>
  </sheetViews>
  <sheetFormatPr baseColWidth="10" defaultColWidth="7.85546875" defaultRowHeight="15" x14ac:dyDescent="0.25"/>
  <cols>
    <col min="1" max="1" width="7.85546875" style="40"/>
    <col min="2" max="2" width="34" style="40" customWidth="1"/>
    <col min="3" max="3" width="15.140625" style="40" customWidth="1"/>
    <col min="4" max="4" width="14.42578125" style="40" customWidth="1"/>
    <col min="5" max="5" width="12.7109375" style="40" customWidth="1"/>
    <col min="6" max="6" width="13.5703125" style="40" customWidth="1"/>
    <col min="7" max="7" width="14.28515625" style="40" customWidth="1"/>
    <col min="8" max="8" width="18.140625" style="40" customWidth="1"/>
    <col min="9" max="9" width="19.42578125" style="40" customWidth="1"/>
    <col min="10" max="10" width="13.85546875" style="40" customWidth="1"/>
    <col min="11" max="11" width="16.85546875" style="40" customWidth="1"/>
    <col min="12" max="12" width="13" style="40" bestFit="1" customWidth="1"/>
    <col min="13" max="13" width="13" style="40" customWidth="1"/>
    <col min="14" max="14" width="14.140625" style="40" customWidth="1"/>
    <col min="15" max="15" width="9.85546875" style="40" bestFit="1" customWidth="1"/>
    <col min="16" max="16" width="12.140625" style="40" customWidth="1"/>
    <col min="17" max="17" width="13.5703125" style="40" bestFit="1" customWidth="1"/>
    <col min="18" max="18" width="14.42578125" style="40" bestFit="1" customWidth="1"/>
    <col min="19" max="19" width="10.140625" style="9" bestFit="1" customWidth="1"/>
    <col min="20" max="20" width="10.42578125" style="9" bestFit="1" customWidth="1"/>
    <col min="21" max="21" width="17.140625" style="40" customWidth="1"/>
    <col min="22" max="22" width="9.7109375" style="40" customWidth="1"/>
    <col min="23" max="23" width="16.140625" style="40" customWidth="1"/>
    <col min="24" max="24" width="13.85546875" style="40" customWidth="1"/>
    <col min="25" max="25" width="15.5703125" style="40" customWidth="1"/>
    <col min="26" max="16384" width="7.85546875" style="40"/>
  </cols>
  <sheetData>
    <row r="1" spans="1:22" x14ac:dyDescent="0.25">
      <c r="A1" s="7" t="s">
        <v>15</v>
      </c>
      <c r="B1" s="3"/>
      <c r="C1" s="3"/>
      <c r="D1" s="3"/>
      <c r="E1" s="3"/>
      <c r="F1" s="3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3"/>
      <c r="T1" s="103"/>
      <c r="U1" s="102"/>
      <c r="V1" s="102"/>
    </row>
    <row r="2" spans="1:22" x14ac:dyDescent="0.25">
      <c r="A2" s="7" t="s">
        <v>16</v>
      </c>
      <c r="B2" s="3"/>
      <c r="C2" s="3"/>
      <c r="D2" s="3"/>
      <c r="E2" s="3"/>
      <c r="F2" s="3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3"/>
      <c r="T2" s="103"/>
      <c r="U2" s="102"/>
      <c r="V2" s="102"/>
    </row>
    <row r="3" spans="1:22" x14ac:dyDescent="0.25">
      <c r="A3" s="7" t="s">
        <v>17</v>
      </c>
      <c r="B3" s="3"/>
      <c r="C3" s="3"/>
      <c r="D3" s="3"/>
      <c r="E3" s="3"/>
      <c r="F3" s="3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3"/>
      <c r="T3" s="103"/>
      <c r="U3" s="102"/>
      <c r="V3" s="102"/>
    </row>
    <row r="4" spans="1:22" x14ac:dyDescent="0.25">
      <c r="A4" s="7" t="s">
        <v>18</v>
      </c>
      <c r="B4" s="3"/>
      <c r="C4" s="3"/>
      <c r="D4" s="3"/>
      <c r="E4" s="3"/>
      <c r="F4" s="3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3"/>
      <c r="T4" s="103"/>
      <c r="U4" s="102"/>
      <c r="V4" s="102"/>
    </row>
    <row r="5" spans="1:22" x14ac:dyDescent="0.25">
      <c r="A5" s="3"/>
      <c r="B5" s="3"/>
      <c r="C5" s="3"/>
      <c r="D5" s="3"/>
      <c r="E5" s="3"/>
      <c r="F5" s="3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3"/>
      <c r="T5" s="103"/>
      <c r="U5" s="102"/>
      <c r="V5" s="102"/>
    </row>
    <row r="6" spans="1:22" ht="18.75" x14ac:dyDescent="0.25">
      <c r="A6" s="780" t="s">
        <v>422</v>
      </c>
      <c r="B6" s="780"/>
      <c r="C6" s="780"/>
      <c r="D6" s="780"/>
      <c r="E6" s="780"/>
      <c r="F6" s="780"/>
      <c r="G6" s="780"/>
      <c r="H6" s="780"/>
      <c r="I6" s="780"/>
      <c r="J6" s="780"/>
      <c r="K6" s="780"/>
      <c r="L6" s="780"/>
      <c r="M6" s="780"/>
      <c r="N6" s="780"/>
      <c r="O6" s="780"/>
      <c r="P6" s="780"/>
      <c r="Q6" s="780"/>
      <c r="R6" s="780"/>
      <c r="S6" s="780"/>
      <c r="T6" s="780"/>
      <c r="U6" s="780"/>
      <c r="V6" s="780"/>
    </row>
    <row r="7" spans="1:22" ht="6.75" customHeight="1" x14ac:dyDescent="0.3">
      <c r="A7" s="559"/>
      <c r="B7" s="560"/>
      <c r="C7" s="560"/>
      <c r="D7" s="560"/>
      <c r="E7" s="560"/>
      <c r="F7" s="560"/>
      <c r="G7" s="560"/>
      <c r="H7" s="560"/>
      <c r="I7" s="560"/>
      <c r="J7" s="560"/>
      <c r="K7" s="559"/>
      <c r="L7" s="559"/>
      <c r="M7" s="559"/>
      <c r="N7" s="559"/>
      <c r="O7" s="559"/>
      <c r="P7" s="559"/>
      <c r="Q7" s="559"/>
      <c r="R7" s="559"/>
      <c r="S7" s="561"/>
      <c r="T7" s="561"/>
      <c r="U7" s="559"/>
      <c r="V7" s="559"/>
    </row>
    <row r="8" spans="1:22" ht="18.75" x14ac:dyDescent="0.3">
      <c r="A8" s="559"/>
      <c r="B8" s="562" t="s">
        <v>423</v>
      </c>
      <c r="C8" s="560"/>
      <c r="D8" s="560"/>
      <c r="E8" s="560"/>
      <c r="F8" s="560"/>
      <c r="G8" s="560"/>
      <c r="H8" s="560"/>
      <c r="I8" s="560"/>
      <c r="J8" s="560"/>
      <c r="K8" s="559"/>
      <c r="L8" s="559"/>
      <c r="M8" s="559"/>
      <c r="N8" s="559"/>
      <c r="O8" s="559"/>
      <c r="P8" s="559"/>
      <c r="Q8" s="559"/>
      <c r="R8" s="559"/>
      <c r="S8" s="561"/>
      <c r="T8" s="561"/>
      <c r="U8" s="559"/>
      <c r="V8" s="559"/>
    </row>
    <row r="9" spans="1:22" ht="5.25" customHeight="1" x14ac:dyDescent="0.3">
      <c r="A9" s="559"/>
      <c r="B9" s="560"/>
      <c r="C9" s="560"/>
      <c r="D9" s="560"/>
      <c r="E9" s="560"/>
      <c r="F9" s="560"/>
      <c r="G9" s="560"/>
      <c r="H9" s="560"/>
      <c r="I9" s="560"/>
      <c r="J9" s="560"/>
      <c r="K9" s="559"/>
      <c r="L9" s="559"/>
      <c r="M9" s="559"/>
      <c r="N9" s="559"/>
      <c r="O9" s="559"/>
      <c r="P9" s="559"/>
      <c r="Q9" s="559"/>
      <c r="R9" s="559"/>
      <c r="S9" s="561"/>
      <c r="T9" s="561"/>
      <c r="U9" s="559"/>
      <c r="V9" s="559"/>
    </row>
    <row r="10" spans="1:22" ht="18.75" x14ac:dyDescent="0.3">
      <c r="A10" s="559"/>
      <c r="B10" s="563" t="s">
        <v>22</v>
      </c>
      <c r="C10" s="563"/>
      <c r="D10" s="562"/>
      <c r="E10" s="560"/>
      <c r="F10" s="560"/>
      <c r="G10" s="560"/>
      <c r="H10" s="560"/>
      <c r="I10" s="560"/>
      <c r="J10" s="560"/>
      <c r="K10" s="559"/>
      <c r="L10" s="559"/>
      <c r="M10" s="559"/>
      <c r="N10" s="559"/>
      <c r="O10" s="559"/>
      <c r="P10" s="559"/>
      <c r="Q10" s="559"/>
      <c r="R10" s="559"/>
      <c r="S10" s="561"/>
      <c r="T10" s="561"/>
      <c r="U10" s="559"/>
      <c r="V10" s="559"/>
    </row>
    <row r="11" spans="1:22" ht="6" customHeight="1" x14ac:dyDescent="0.25">
      <c r="A11" s="104"/>
      <c r="B11" s="105"/>
      <c r="C11" s="105"/>
      <c r="D11" s="105"/>
      <c r="E11" s="105"/>
      <c r="F11" s="105"/>
      <c r="G11" s="105"/>
      <c r="H11" s="105"/>
      <c r="I11" s="105"/>
      <c r="J11" s="105"/>
      <c r="K11" s="102"/>
      <c r="L11" s="102"/>
      <c r="M11" s="102"/>
      <c r="N11" s="102"/>
      <c r="O11" s="102"/>
      <c r="P11" s="102"/>
      <c r="Q11" s="102"/>
      <c r="R11" s="102"/>
      <c r="S11" s="103"/>
      <c r="T11" s="103"/>
      <c r="U11" s="102"/>
      <c r="V11" s="102"/>
    </row>
    <row r="12" spans="1:22" ht="15.75" thickBot="1" x14ac:dyDescent="0.3">
      <c r="A12" s="104"/>
      <c r="B12" s="105"/>
      <c r="C12" s="781" t="s">
        <v>36</v>
      </c>
      <c r="D12" s="781"/>
      <c r="E12" s="781"/>
      <c r="F12" s="781"/>
      <c r="G12" s="781"/>
      <c r="H12" s="781"/>
      <c r="I12" s="781"/>
      <c r="J12" s="781"/>
      <c r="K12" s="781"/>
      <c r="L12" s="781"/>
      <c r="M12" s="781"/>
      <c r="N12" s="781"/>
      <c r="O12" s="781"/>
      <c r="P12" s="781"/>
      <c r="Q12" s="781"/>
      <c r="R12" s="781"/>
      <c r="S12" s="103"/>
      <c r="T12" s="103"/>
      <c r="U12" s="102"/>
      <c r="V12" s="102"/>
    </row>
    <row r="13" spans="1:22" ht="16.5" thickTop="1" thickBot="1" x14ac:dyDescent="0.3">
      <c r="A13" s="106"/>
      <c r="B13" s="105"/>
      <c r="C13" s="720" t="s">
        <v>164</v>
      </c>
      <c r="D13" s="721"/>
      <c r="E13" s="721"/>
      <c r="F13" s="721"/>
      <c r="G13" s="721"/>
      <c r="H13" s="721"/>
      <c r="I13" s="721"/>
      <c r="J13" s="721"/>
      <c r="K13" s="722"/>
      <c r="L13" s="723" t="s">
        <v>165</v>
      </c>
      <c r="M13" s="724"/>
      <c r="N13" s="724"/>
      <c r="O13" s="724"/>
      <c r="P13" s="724"/>
      <c r="Q13" s="724"/>
      <c r="R13" s="724"/>
      <c r="S13" s="724"/>
      <c r="T13" s="725"/>
      <c r="U13" s="102"/>
      <c r="V13" s="102"/>
    </row>
    <row r="14" spans="1:22" ht="39.75" customHeight="1" thickTop="1" thickBot="1" x14ac:dyDescent="0.3">
      <c r="A14" s="106"/>
      <c r="B14" s="64" t="s">
        <v>32</v>
      </c>
      <c r="C14" s="551" t="s">
        <v>6</v>
      </c>
      <c r="D14" s="552" t="s">
        <v>8</v>
      </c>
      <c r="E14" s="552" t="s">
        <v>4</v>
      </c>
      <c r="F14" s="552" t="s">
        <v>382</v>
      </c>
      <c r="G14" s="552" t="s">
        <v>2</v>
      </c>
      <c r="H14" s="552" t="s">
        <v>421</v>
      </c>
      <c r="I14" s="552" t="s">
        <v>404</v>
      </c>
      <c r="J14" s="553" t="s">
        <v>407</v>
      </c>
      <c r="K14" s="554" t="s">
        <v>406</v>
      </c>
      <c r="L14" s="555" t="s">
        <v>8</v>
      </c>
      <c r="M14" s="556" t="s">
        <v>6</v>
      </c>
      <c r="N14" s="556" t="s">
        <v>7</v>
      </c>
      <c r="O14" s="556" t="s">
        <v>4</v>
      </c>
      <c r="P14" s="556" t="s">
        <v>5</v>
      </c>
      <c r="Q14" s="556" t="s">
        <v>3</v>
      </c>
      <c r="R14" s="556" t="s">
        <v>2</v>
      </c>
      <c r="S14" s="557" t="s">
        <v>9</v>
      </c>
      <c r="T14" s="558" t="s">
        <v>382</v>
      </c>
      <c r="U14" s="74" t="s">
        <v>33</v>
      </c>
      <c r="V14" s="102"/>
    </row>
    <row r="15" spans="1:22" ht="15.75" thickTop="1" x14ac:dyDescent="0.25">
      <c r="A15" s="106"/>
      <c r="B15" s="69">
        <v>2013</v>
      </c>
      <c r="C15" s="73"/>
      <c r="D15" s="65"/>
      <c r="E15" s="65"/>
      <c r="F15" s="65"/>
      <c r="G15" s="65"/>
      <c r="H15" s="65"/>
      <c r="I15" s="65"/>
      <c r="J15" s="65"/>
      <c r="K15" s="65"/>
      <c r="L15" s="76">
        <v>1</v>
      </c>
      <c r="M15" s="66"/>
      <c r="N15" s="66">
        <v>0</v>
      </c>
      <c r="O15" s="66">
        <v>0</v>
      </c>
      <c r="P15" s="66">
        <v>0</v>
      </c>
      <c r="Q15" s="66">
        <v>0</v>
      </c>
      <c r="R15" s="66"/>
      <c r="S15" s="66">
        <v>0</v>
      </c>
      <c r="T15" s="77"/>
      <c r="U15" s="75">
        <f t="shared" ref="U15:U21" si="0">SUM(C15:S15)</f>
        <v>1</v>
      </c>
      <c r="V15" s="102"/>
    </row>
    <row r="16" spans="1:22" ht="18.75" x14ac:dyDescent="0.3">
      <c r="A16" s="106"/>
      <c r="B16" s="70">
        <v>2014</v>
      </c>
      <c r="C16" s="566">
        <v>881</v>
      </c>
      <c r="D16" s="567">
        <v>168</v>
      </c>
      <c r="E16" s="567">
        <v>116</v>
      </c>
      <c r="F16" s="567">
        <v>127</v>
      </c>
      <c r="G16" s="567">
        <v>3</v>
      </c>
      <c r="H16" s="567"/>
      <c r="I16" s="567"/>
      <c r="J16" s="567"/>
      <c r="K16" s="567"/>
      <c r="L16" s="566">
        <v>33</v>
      </c>
      <c r="M16" s="567"/>
      <c r="N16" s="567">
        <v>0</v>
      </c>
      <c r="O16" s="567">
        <v>7</v>
      </c>
      <c r="P16" s="567">
        <v>4</v>
      </c>
      <c r="Q16" s="567">
        <v>11</v>
      </c>
      <c r="R16" s="567"/>
      <c r="S16" s="567">
        <v>7</v>
      </c>
      <c r="T16" s="568"/>
      <c r="U16" s="569">
        <f t="shared" si="0"/>
        <v>1357</v>
      </c>
      <c r="V16" s="102"/>
    </row>
    <row r="17" spans="1:25" ht="18.75" x14ac:dyDescent="0.3">
      <c r="A17" s="106"/>
      <c r="B17" s="71">
        <v>2015</v>
      </c>
      <c r="C17" s="570">
        <v>1503</v>
      </c>
      <c r="D17" s="571">
        <v>779</v>
      </c>
      <c r="E17" s="571">
        <v>230</v>
      </c>
      <c r="F17" s="571">
        <v>159</v>
      </c>
      <c r="G17" s="571">
        <v>2</v>
      </c>
      <c r="H17" s="571"/>
      <c r="I17" s="571"/>
      <c r="J17" s="571"/>
      <c r="K17" s="571"/>
      <c r="L17" s="572">
        <v>38</v>
      </c>
      <c r="M17" s="573"/>
      <c r="N17" s="571">
        <v>5</v>
      </c>
      <c r="O17" s="571">
        <v>99</v>
      </c>
      <c r="P17" s="571">
        <v>2</v>
      </c>
      <c r="Q17" s="571">
        <v>1</v>
      </c>
      <c r="R17" s="571"/>
      <c r="S17" s="571">
        <v>2</v>
      </c>
      <c r="T17" s="574"/>
      <c r="U17" s="569">
        <f t="shared" si="0"/>
        <v>2820</v>
      </c>
      <c r="V17" s="102"/>
    </row>
    <row r="18" spans="1:25" ht="18.75" x14ac:dyDescent="0.3">
      <c r="A18" s="106"/>
      <c r="B18" s="71">
        <v>2016</v>
      </c>
      <c r="C18" s="570">
        <v>2510</v>
      </c>
      <c r="D18" s="571">
        <v>829</v>
      </c>
      <c r="E18" s="571">
        <v>986</v>
      </c>
      <c r="F18" s="571">
        <v>235</v>
      </c>
      <c r="G18" s="571">
        <v>33</v>
      </c>
      <c r="H18" s="571"/>
      <c r="I18" s="571"/>
      <c r="J18" s="571"/>
      <c r="K18" s="571"/>
      <c r="L18" s="572">
        <v>120</v>
      </c>
      <c r="M18" s="573"/>
      <c r="N18" s="571">
        <v>1</v>
      </c>
      <c r="O18" s="571">
        <v>192</v>
      </c>
      <c r="P18" s="571">
        <v>8</v>
      </c>
      <c r="Q18" s="571">
        <v>1</v>
      </c>
      <c r="R18" s="571"/>
      <c r="S18" s="571">
        <v>28</v>
      </c>
      <c r="T18" s="574">
        <v>2</v>
      </c>
      <c r="U18" s="569">
        <f t="shared" si="0"/>
        <v>4943</v>
      </c>
      <c r="V18" s="102"/>
    </row>
    <row r="19" spans="1:25" ht="18.75" x14ac:dyDescent="0.3">
      <c r="A19" s="106"/>
      <c r="B19" s="71">
        <v>2017</v>
      </c>
      <c r="C19" s="570">
        <v>3314</v>
      </c>
      <c r="D19" s="571">
        <v>1329</v>
      </c>
      <c r="E19" s="571">
        <v>2435</v>
      </c>
      <c r="F19" s="571">
        <v>526</v>
      </c>
      <c r="G19" s="571">
        <v>66</v>
      </c>
      <c r="H19" s="571"/>
      <c r="I19" s="571">
        <v>1</v>
      </c>
      <c r="J19" s="571"/>
      <c r="K19" s="571"/>
      <c r="L19" s="572">
        <v>221</v>
      </c>
      <c r="M19" s="573"/>
      <c r="N19" s="571">
        <v>8</v>
      </c>
      <c r="O19" s="571">
        <v>630</v>
      </c>
      <c r="P19" s="571"/>
      <c r="Q19" s="571"/>
      <c r="R19" s="571"/>
      <c r="S19" s="571"/>
      <c r="T19" s="574"/>
      <c r="U19" s="569">
        <f t="shared" si="0"/>
        <v>8530</v>
      </c>
      <c r="V19" s="102"/>
    </row>
    <row r="20" spans="1:25" ht="19.5" thickBot="1" x14ac:dyDescent="0.35">
      <c r="A20" s="106"/>
      <c r="B20" s="72">
        <v>2018</v>
      </c>
      <c r="C20" s="575">
        <v>194</v>
      </c>
      <c r="D20" s="576">
        <v>112</v>
      </c>
      <c r="E20" s="576">
        <v>110</v>
      </c>
      <c r="F20" s="576">
        <v>0</v>
      </c>
      <c r="G20" s="576">
        <v>2</v>
      </c>
      <c r="H20" s="576"/>
      <c r="I20" s="576"/>
      <c r="J20" s="576"/>
      <c r="K20" s="576"/>
      <c r="L20" s="577">
        <v>6</v>
      </c>
      <c r="M20" s="578"/>
      <c r="N20" s="576"/>
      <c r="O20" s="576">
        <v>23</v>
      </c>
      <c r="P20" s="576"/>
      <c r="Q20" s="576"/>
      <c r="R20" s="576"/>
      <c r="S20" s="576"/>
      <c r="T20" s="579"/>
      <c r="U20" s="580">
        <f t="shared" si="0"/>
        <v>447</v>
      </c>
      <c r="V20" s="102"/>
    </row>
    <row r="21" spans="1:25" ht="26.25" thickTop="1" x14ac:dyDescent="0.25">
      <c r="A21" s="106"/>
      <c r="B21" s="184" t="s">
        <v>34</v>
      </c>
      <c r="C21" s="581">
        <f>SUM(C16:C20)</f>
        <v>8402</v>
      </c>
      <c r="D21" s="582">
        <f t="shared" ref="D21:F21" si="1">SUM(D16:D20)</f>
        <v>3217</v>
      </c>
      <c r="E21" s="582">
        <f t="shared" si="1"/>
        <v>3877</v>
      </c>
      <c r="F21" s="582">
        <f t="shared" si="1"/>
        <v>1047</v>
      </c>
      <c r="G21" s="582">
        <f>SUM(G16:G20)</f>
        <v>106</v>
      </c>
      <c r="H21" s="582"/>
      <c r="I21" s="582">
        <f>SUM(I16:I20)</f>
        <v>1</v>
      </c>
      <c r="J21" s="582"/>
      <c r="K21" s="582"/>
      <c r="L21" s="581">
        <f>SUM(L15:L20)</f>
        <v>419</v>
      </c>
      <c r="M21" s="582"/>
      <c r="N21" s="582">
        <f t="shared" ref="N21:Q21" si="2">SUM(N15:N20)</f>
        <v>14</v>
      </c>
      <c r="O21" s="582">
        <f t="shared" si="2"/>
        <v>951</v>
      </c>
      <c r="P21" s="582">
        <f t="shared" si="2"/>
        <v>14</v>
      </c>
      <c r="Q21" s="582">
        <f t="shared" si="2"/>
        <v>13</v>
      </c>
      <c r="R21" s="582"/>
      <c r="S21" s="582">
        <f>SUM(S15:S20)</f>
        <v>37</v>
      </c>
      <c r="T21" s="583">
        <v>2</v>
      </c>
      <c r="U21" s="584">
        <f t="shared" si="0"/>
        <v>18098</v>
      </c>
      <c r="V21" s="102"/>
    </row>
    <row r="22" spans="1:25" ht="27" customHeight="1" thickBot="1" x14ac:dyDescent="0.3">
      <c r="A22" s="106"/>
      <c r="B22" s="185" t="s">
        <v>35</v>
      </c>
      <c r="C22" s="585">
        <f>C15+C16</f>
        <v>881</v>
      </c>
      <c r="D22" s="586">
        <f t="shared" ref="D22:U22" si="3">D15+D16</f>
        <v>168</v>
      </c>
      <c r="E22" s="586">
        <f t="shared" si="3"/>
        <v>116</v>
      </c>
      <c r="F22" s="586">
        <f t="shared" si="3"/>
        <v>127</v>
      </c>
      <c r="G22" s="586">
        <f>G15+G16</f>
        <v>3</v>
      </c>
      <c r="H22" s="586"/>
      <c r="I22" s="586">
        <f>I15+I16</f>
        <v>0</v>
      </c>
      <c r="J22" s="586"/>
      <c r="K22" s="586"/>
      <c r="L22" s="585">
        <f t="shared" si="3"/>
        <v>34</v>
      </c>
      <c r="M22" s="586"/>
      <c r="N22" s="586">
        <f t="shared" si="3"/>
        <v>0</v>
      </c>
      <c r="O22" s="586">
        <f t="shared" si="3"/>
        <v>7</v>
      </c>
      <c r="P22" s="586">
        <f t="shared" si="3"/>
        <v>4</v>
      </c>
      <c r="Q22" s="586">
        <f t="shared" si="3"/>
        <v>11</v>
      </c>
      <c r="R22" s="586"/>
      <c r="S22" s="586">
        <f t="shared" si="3"/>
        <v>7</v>
      </c>
      <c r="T22" s="587">
        <v>0</v>
      </c>
      <c r="U22" s="588">
        <f t="shared" si="3"/>
        <v>1358</v>
      </c>
      <c r="V22" s="102"/>
    </row>
    <row r="23" spans="1:25" ht="15.75" thickTop="1" x14ac:dyDescent="0.25">
      <c r="A23" s="104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778" t="s">
        <v>408</v>
      </c>
      <c r="X23" s="778" t="s">
        <v>401</v>
      </c>
      <c r="Y23" s="778" t="s">
        <v>400</v>
      </c>
    </row>
    <row r="24" spans="1:25" s="229" customFormat="1" ht="15.75" thickBot="1" x14ac:dyDescent="0.3">
      <c r="A24" s="104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779"/>
      <c r="X24" s="779"/>
      <c r="Y24" s="779"/>
    </row>
    <row r="25" spans="1:25" ht="22.5" thickTop="1" thickBot="1" x14ac:dyDescent="0.4">
      <c r="A25" s="104"/>
      <c r="B25" s="178" t="s">
        <v>166</v>
      </c>
      <c r="C25" s="589">
        <v>839</v>
      </c>
      <c r="D25" s="589">
        <v>93</v>
      </c>
      <c r="E25" s="589">
        <v>93</v>
      </c>
      <c r="F25" s="589">
        <v>72</v>
      </c>
      <c r="G25" s="589">
        <v>3</v>
      </c>
      <c r="H25" s="589"/>
      <c r="I25" s="589">
        <v>0</v>
      </c>
      <c r="J25" s="589"/>
      <c r="K25" s="590"/>
      <c r="L25" s="591">
        <v>29</v>
      </c>
      <c r="M25" s="589"/>
      <c r="N25" s="589">
        <v>0</v>
      </c>
      <c r="O25" s="589">
        <v>7</v>
      </c>
      <c r="P25" s="589">
        <v>4</v>
      </c>
      <c r="Q25" s="589">
        <v>11</v>
      </c>
      <c r="R25" s="590"/>
      <c r="S25" s="590">
        <v>7</v>
      </c>
      <c r="T25" s="592"/>
      <c r="U25" s="592">
        <f t="shared" ref="U25:U32" si="4">SUM(C25:S25)</f>
        <v>1158</v>
      </c>
      <c r="V25" s="559"/>
      <c r="W25" s="593">
        <f>U22-U25</f>
        <v>200</v>
      </c>
      <c r="X25" s="594">
        <f>U25/U22</f>
        <v>0.8527245949926362</v>
      </c>
      <c r="Y25" s="864">
        <f>1-X25</f>
        <v>0.1472754050073638</v>
      </c>
    </row>
    <row r="26" spans="1:25" ht="22.5" thickTop="1" thickBot="1" x14ac:dyDescent="0.4">
      <c r="A26" s="104"/>
      <c r="B26" s="179" t="s">
        <v>167</v>
      </c>
      <c r="C26" s="595">
        <v>71</v>
      </c>
      <c r="D26" s="595">
        <v>88</v>
      </c>
      <c r="E26" s="595">
        <v>29</v>
      </c>
      <c r="F26" s="595">
        <v>76</v>
      </c>
      <c r="G26" s="596">
        <v>2</v>
      </c>
      <c r="H26" s="596"/>
      <c r="I26" s="596">
        <v>0</v>
      </c>
      <c r="J26" s="596"/>
      <c r="K26" s="597"/>
      <c r="L26" s="598">
        <v>5</v>
      </c>
      <c r="M26" s="595"/>
      <c r="N26" s="596">
        <v>0</v>
      </c>
      <c r="O26" s="596">
        <v>0</v>
      </c>
      <c r="P26" s="596">
        <v>0</v>
      </c>
      <c r="Q26" s="596">
        <v>0</v>
      </c>
      <c r="R26" s="597"/>
      <c r="S26" s="597">
        <v>0</v>
      </c>
      <c r="T26" s="599"/>
      <c r="U26" s="600">
        <f t="shared" si="4"/>
        <v>271</v>
      </c>
      <c r="V26" s="601"/>
      <c r="W26" s="109"/>
      <c r="X26" s="109"/>
      <c r="Y26" s="865"/>
    </row>
    <row r="27" spans="1:25" ht="22.5" thickTop="1" thickBot="1" x14ac:dyDescent="0.4">
      <c r="A27" s="104"/>
      <c r="B27" s="564" t="s">
        <v>179</v>
      </c>
      <c r="C27" s="602">
        <v>808</v>
      </c>
      <c r="D27" s="602">
        <v>78</v>
      </c>
      <c r="E27" s="602">
        <v>82</v>
      </c>
      <c r="F27" s="602">
        <v>64</v>
      </c>
      <c r="G27" s="603"/>
      <c r="H27" s="603"/>
      <c r="I27" s="603"/>
      <c r="J27" s="603"/>
      <c r="K27" s="604"/>
      <c r="L27" s="605">
        <v>27</v>
      </c>
      <c r="M27" s="602"/>
      <c r="N27" s="603"/>
      <c r="O27" s="603">
        <v>7</v>
      </c>
      <c r="P27" s="603">
        <v>4</v>
      </c>
      <c r="Q27" s="603">
        <v>11</v>
      </c>
      <c r="R27" s="604"/>
      <c r="S27" s="604">
        <v>7</v>
      </c>
      <c r="T27" s="606"/>
      <c r="U27" s="607">
        <f t="shared" si="4"/>
        <v>1088</v>
      </c>
      <c r="V27" s="601"/>
      <c r="W27" s="608">
        <f>U22-U27</f>
        <v>270</v>
      </c>
      <c r="X27" s="594">
        <f>U27/U22</f>
        <v>0.80117820324005895</v>
      </c>
      <c r="Y27" s="864">
        <f>1-X27</f>
        <v>0.19882179675994105</v>
      </c>
    </row>
    <row r="28" spans="1:25" ht="22.5" thickTop="1" thickBot="1" x14ac:dyDescent="0.4">
      <c r="A28" s="104"/>
      <c r="B28" s="565" t="s">
        <v>180</v>
      </c>
      <c r="C28" s="609">
        <v>97</v>
      </c>
      <c r="D28" s="609">
        <v>94</v>
      </c>
      <c r="E28" s="609">
        <v>40</v>
      </c>
      <c r="F28" s="609">
        <v>84</v>
      </c>
      <c r="G28" s="610"/>
      <c r="H28" s="610"/>
      <c r="I28" s="610"/>
      <c r="J28" s="610"/>
      <c r="K28" s="611"/>
      <c r="L28" s="612">
        <v>7</v>
      </c>
      <c r="M28" s="609"/>
      <c r="N28" s="610"/>
      <c r="O28" s="610"/>
      <c r="P28" s="610"/>
      <c r="Q28" s="610"/>
      <c r="R28" s="611">
        <v>5</v>
      </c>
      <c r="S28" s="611"/>
      <c r="T28" s="613"/>
      <c r="U28" s="614">
        <f t="shared" si="4"/>
        <v>327</v>
      </c>
      <c r="V28" s="601"/>
      <c r="W28" s="109"/>
      <c r="X28" s="109"/>
      <c r="Y28" s="865"/>
    </row>
    <row r="29" spans="1:25" ht="22.5" thickTop="1" thickBot="1" x14ac:dyDescent="0.4">
      <c r="A29" s="104"/>
      <c r="B29" s="178" t="s">
        <v>186</v>
      </c>
      <c r="C29" s="589">
        <v>653</v>
      </c>
      <c r="D29" s="589">
        <v>60</v>
      </c>
      <c r="E29" s="589">
        <v>25</v>
      </c>
      <c r="F29" s="589">
        <v>54</v>
      </c>
      <c r="G29" s="615"/>
      <c r="H29" s="615"/>
      <c r="I29" s="615"/>
      <c r="J29" s="615"/>
      <c r="K29" s="616"/>
      <c r="L29" s="591">
        <v>22</v>
      </c>
      <c r="M29" s="589"/>
      <c r="N29" s="615"/>
      <c r="O29" s="615">
        <v>7</v>
      </c>
      <c r="P29" s="615">
        <v>4</v>
      </c>
      <c r="Q29" s="615">
        <v>10</v>
      </c>
      <c r="R29" s="616"/>
      <c r="S29" s="616">
        <v>7</v>
      </c>
      <c r="T29" s="617"/>
      <c r="U29" s="592">
        <f t="shared" si="4"/>
        <v>842</v>
      </c>
      <c r="V29" s="601"/>
      <c r="W29" s="593">
        <f>U22-U29</f>
        <v>516</v>
      </c>
      <c r="X29" s="594">
        <f>U29/U22</f>
        <v>0.62002945508100149</v>
      </c>
      <c r="Y29" s="864">
        <f>1-X29</f>
        <v>0.37997054491899851</v>
      </c>
    </row>
    <row r="30" spans="1:25" ht="22.5" thickTop="1" thickBot="1" x14ac:dyDescent="0.4">
      <c r="A30" s="104"/>
      <c r="B30" s="179" t="s">
        <v>187</v>
      </c>
      <c r="C30" s="595">
        <v>203</v>
      </c>
      <c r="D30" s="595">
        <v>111</v>
      </c>
      <c r="E30" s="595">
        <v>68</v>
      </c>
      <c r="F30" s="595">
        <v>94</v>
      </c>
      <c r="G30" s="596">
        <v>5</v>
      </c>
      <c r="H30" s="596"/>
      <c r="I30" s="596"/>
      <c r="J30" s="596"/>
      <c r="K30" s="597"/>
      <c r="L30" s="598">
        <v>12</v>
      </c>
      <c r="M30" s="595"/>
      <c r="N30" s="596"/>
      <c r="O30" s="596"/>
      <c r="P30" s="596"/>
      <c r="Q30" s="596"/>
      <c r="R30" s="597">
        <v>5</v>
      </c>
      <c r="S30" s="597"/>
      <c r="T30" s="599"/>
      <c r="U30" s="600">
        <f t="shared" si="4"/>
        <v>498</v>
      </c>
      <c r="V30" s="601"/>
      <c r="W30" s="109"/>
      <c r="X30" s="109"/>
      <c r="Y30" s="865"/>
    </row>
    <row r="31" spans="1:25" ht="22.5" thickTop="1" thickBot="1" x14ac:dyDescent="0.4">
      <c r="A31" s="104"/>
      <c r="B31" s="564" t="s">
        <v>259</v>
      </c>
      <c r="C31" s="602">
        <v>357</v>
      </c>
      <c r="D31" s="602">
        <v>43</v>
      </c>
      <c r="E31" s="602">
        <v>15</v>
      </c>
      <c r="F31" s="602">
        <v>36</v>
      </c>
      <c r="G31" s="603"/>
      <c r="H31" s="603"/>
      <c r="I31" s="603"/>
      <c r="J31" s="603"/>
      <c r="K31" s="604"/>
      <c r="L31" s="605">
        <v>22</v>
      </c>
      <c r="M31" s="602"/>
      <c r="N31" s="603"/>
      <c r="O31" s="603">
        <v>7</v>
      </c>
      <c r="P31" s="603">
        <v>4</v>
      </c>
      <c r="Q31" s="603">
        <v>10</v>
      </c>
      <c r="R31" s="604"/>
      <c r="S31" s="604">
        <v>7</v>
      </c>
      <c r="T31" s="606"/>
      <c r="U31" s="607">
        <f t="shared" si="4"/>
        <v>501</v>
      </c>
      <c r="V31" s="601"/>
      <c r="W31" s="608">
        <f>U22-U31</f>
        <v>857</v>
      </c>
      <c r="X31" s="594">
        <f>U31/U22</f>
        <v>0.36892488954344627</v>
      </c>
      <c r="Y31" s="864">
        <f>1-X31</f>
        <v>0.63107511045655373</v>
      </c>
    </row>
    <row r="32" spans="1:25" ht="22.5" thickTop="1" thickBot="1" x14ac:dyDescent="0.4">
      <c r="A32" s="104"/>
      <c r="B32" s="565" t="s">
        <v>260</v>
      </c>
      <c r="C32" s="609">
        <v>429</v>
      </c>
      <c r="D32" s="609">
        <v>128</v>
      </c>
      <c r="E32" s="609">
        <v>78</v>
      </c>
      <c r="F32" s="609">
        <v>111</v>
      </c>
      <c r="G32" s="610">
        <v>5</v>
      </c>
      <c r="H32" s="610"/>
      <c r="I32" s="610"/>
      <c r="J32" s="610"/>
      <c r="K32" s="611"/>
      <c r="L32" s="612">
        <v>13</v>
      </c>
      <c r="M32" s="609"/>
      <c r="N32" s="610"/>
      <c r="O32" s="610"/>
      <c r="P32" s="610"/>
      <c r="Q32" s="610">
        <v>1</v>
      </c>
      <c r="R32" s="611"/>
      <c r="S32" s="611"/>
      <c r="T32" s="613"/>
      <c r="U32" s="614">
        <f t="shared" si="4"/>
        <v>765</v>
      </c>
      <c r="V32" s="601"/>
      <c r="W32" s="109"/>
      <c r="X32" s="109"/>
      <c r="Y32" s="865"/>
    </row>
    <row r="33" spans="1:25" ht="22.5" thickTop="1" thickBot="1" x14ac:dyDescent="0.4">
      <c r="A33" s="104"/>
      <c r="B33" s="178" t="s">
        <v>353</v>
      </c>
      <c r="C33" s="589">
        <v>274</v>
      </c>
      <c r="D33" s="589">
        <v>27</v>
      </c>
      <c r="E33" s="589">
        <v>14</v>
      </c>
      <c r="F33" s="589">
        <v>15</v>
      </c>
      <c r="G33" s="615"/>
      <c r="H33" s="615"/>
      <c r="I33" s="615"/>
      <c r="J33" s="615"/>
      <c r="K33" s="616"/>
      <c r="L33" s="591">
        <v>22</v>
      </c>
      <c r="M33" s="589"/>
      <c r="N33" s="615"/>
      <c r="O33" s="615">
        <v>7</v>
      </c>
      <c r="P33" s="615">
        <v>4</v>
      </c>
      <c r="Q33" s="615">
        <v>10</v>
      </c>
      <c r="R33" s="616"/>
      <c r="S33" s="616">
        <v>2</v>
      </c>
      <c r="T33" s="617"/>
      <c r="U33" s="592">
        <f t="shared" ref="U33:U34" si="5">SUM(C33:S33)</f>
        <v>375</v>
      </c>
      <c r="V33" s="601"/>
      <c r="W33" s="593">
        <f>U22-U33</f>
        <v>983</v>
      </c>
      <c r="X33" s="594">
        <f>U33/U22</f>
        <v>0.27614138438880709</v>
      </c>
      <c r="Y33" s="864">
        <f>1-X33</f>
        <v>0.72385861561119291</v>
      </c>
    </row>
    <row r="34" spans="1:25" ht="22.5" thickTop="1" thickBot="1" x14ac:dyDescent="0.4">
      <c r="A34" s="102"/>
      <c r="B34" s="179" t="s">
        <v>354</v>
      </c>
      <c r="C34" s="595">
        <v>306</v>
      </c>
      <c r="D34" s="595">
        <v>247</v>
      </c>
      <c r="E34" s="595">
        <v>156</v>
      </c>
      <c r="F34" s="595">
        <v>41</v>
      </c>
      <c r="G34" s="596">
        <v>7</v>
      </c>
      <c r="H34" s="596">
        <v>2</v>
      </c>
      <c r="I34" s="596"/>
      <c r="J34" s="596">
        <v>7</v>
      </c>
      <c r="K34" s="597">
        <v>9</v>
      </c>
      <c r="L34" s="598">
        <v>36</v>
      </c>
      <c r="M34" s="595">
        <v>50</v>
      </c>
      <c r="N34" s="596"/>
      <c r="O34" s="596">
        <v>22</v>
      </c>
      <c r="P34" s="596">
        <v>2</v>
      </c>
      <c r="Q34" s="596">
        <v>4</v>
      </c>
      <c r="R34" s="597"/>
      <c r="S34" s="597">
        <v>1</v>
      </c>
      <c r="T34" s="599"/>
      <c r="U34" s="600">
        <f t="shared" si="5"/>
        <v>890</v>
      </c>
      <c r="V34" s="601"/>
      <c r="W34" s="109"/>
      <c r="X34" s="109"/>
      <c r="Y34" s="865"/>
    </row>
    <row r="35" spans="1:25" ht="22.5" thickTop="1" thickBot="1" x14ac:dyDescent="0.4">
      <c r="A35" s="102"/>
      <c r="B35" s="564" t="s">
        <v>380</v>
      </c>
      <c r="C35" s="602">
        <v>142</v>
      </c>
      <c r="D35" s="602">
        <v>17</v>
      </c>
      <c r="E35" s="602">
        <v>14</v>
      </c>
      <c r="F35" s="602">
        <v>13</v>
      </c>
      <c r="G35" s="603">
        <v>0</v>
      </c>
      <c r="H35" s="603">
        <v>0</v>
      </c>
      <c r="I35" s="603">
        <v>0</v>
      </c>
      <c r="J35" s="603">
        <v>0</v>
      </c>
      <c r="K35" s="604">
        <v>0</v>
      </c>
      <c r="L35" s="605">
        <v>20</v>
      </c>
      <c r="M35" s="602">
        <v>0</v>
      </c>
      <c r="N35" s="603">
        <v>0</v>
      </c>
      <c r="O35" s="603">
        <v>7</v>
      </c>
      <c r="P35" s="603">
        <v>4</v>
      </c>
      <c r="Q35" s="603">
        <v>10</v>
      </c>
      <c r="R35" s="604">
        <v>0</v>
      </c>
      <c r="S35" s="604">
        <v>2</v>
      </c>
      <c r="T35" s="606">
        <v>0</v>
      </c>
      <c r="U35" s="607">
        <f>SUM(C35:T35)</f>
        <v>229</v>
      </c>
      <c r="V35" s="601"/>
      <c r="W35" s="608">
        <f>U22-U35</f>
        <v>1129</v>
      </c>
      <c r="X35" s="594">
        <f>U35/U22</f>
        <v>0.16863033873343153</v>
      </c>
      <c r="Y35" s="864">
        <f>1-X35</f>
        <v>0.83136966126656842</v>
      </c>
    </row>
    <row r="36" spans="1:25" ht="22.5" thickTop="1" thickBot="1" x14ac:dyDescent="0.4">
      <c r="B36" s="565" t="s">
        <v>381</v>
      </c>
      <c r="C36" s="609">
        <v>62</v>
      </c>
      <c r="D36" s="609">
        <v>4</v>
      </c>
      <c r="E36" s="609">
        <v>79</v>
      </c>
      <c r="F36" s="609">
        <v>4</v>
      </c>
      <c r="G36" s="610">
        <v>1</v>
      </c>
      <c r="H36" s="610">
        <v>0</v>
      </c>
      <c r="I36" s="610">
        <v>0</v>
      </c>
      <c r="J36" s="610">
        <v>0</v>
      </c>
      <c r="K36" s="611">
        <v>0</v>
      </c>
      <c r="L36" s="612">
        <v>1</v>
      </c>
      <c r="M36" s="609">
        <v>4</v>
      </c>
      <c r="N36" s="610">
        <v>2</v>
      </c>
      <c r="O36" s="610">
        <v>2</v>
      </c>
      <c r="P36" s="610">
        <v>0</v>
      </c>
      <c r="Q36" s="610">
        <v>1</v>
      </c>
      <c r="R36" s="611">
        <v>0</v>
      </c>
      <c r="S36" s="611">
        <v>3</v>
      </c>
      <c r="T36" s="613">
        <v>2</v>
      </c>
      <c r="U36" s="614">
        <f>SUM(C36:T36)</f>
        <v>165</v>
      </c>
      <c r="V36" s="601"/>
      <c r="W36" s="109"/>
      <c r="X36" s="109"/>
      <c r="Y36" s="865"/>
    </row>
    <row r="37" spans="1:25" ht="22.5" thickTop="1" thickBot="1" x14ac:dyDescent="0.4">
      <c r="B37" s="178" t="s">
        <v>444</v>
      </c>
      <c r="C37" s="589">
        <v>14</v>
      </c>
      <c r="D37" s="589">
        <v>8</v>
      </c>
      <c r="E37" s="589">
        <v>14</v>
      </c>
      <c r="F37" s="589">
        <v>12</v>
      </c>
      <c r="G37" s="615">
        <v>0</v>
      </c>
      <c r="H37" s="615">
        <v>0</v>
      </c>
      <c r="I37" s="615">
        <v>0</v>
      </c>
      <c r="J37" s="615">
        <v>0</v>
      </c>
      <c r="K37" s="616">
        <v>0</v>
      </c>
      <c r="L37" s="591">
        <v>19</v>
      </c>
      <c r="M37" s="589">
        <v>0</v>
      </c>
      <c r="N37" s="615">
        <v>0</v>
      </c>
      <c r="O37" s="615">
        <v>7</v>
      </c>
      <c r="P37" s="615">
        <v>2</v>
      </c>
      <c r="Q37" s="615"/>
      <c r="R37" s="616"/>
      <c r="S37" s="616">
        <v>2</v>
      </c>
      <c r="T37" s="617"/>
      <c r="U37" s="592">
        <f>SUM(C37:T37)</f>
        <v>78</v>
      </c>
      <c r="W37" s="608">
        <f>U24-U37</f>
        <v>-78</v>
      </c>
      <c r="X37" s="594">
        <f>U37/U22</f>
        <v>5.7437407952871868E-2</v>
      </c>
      <c r="Y37" s="864">
        <f>1-X37</f>
        <v>0.94256259204712811</v>
      </c>
    </row>
    <row r="38" spans="1:25" ht="22.5" thickTop="1" thickBot="1" x14ac:dyDescent="0.4">
      <c r="B38" s="179" t="s">
        <v>445</v>
      </c>
      <c r="C38" s="595">
        <v>769</v>
      </c>
      <c r="D38" s="595">
        <v>164</v>
      </c>
      <c r="E38" s="595">
        <v>79</v>
      </c>
      <c r="F38" s="595">
        <v>135</v>
      </c>
      <c r="G38" s="596">
        <v>5</v>
      </c>
      <c r="H38" s="596">
        <v>0</v>
      </c>
      <c r="I38" s="596">
        <v>0</v>
      </c>
      <c r="J38" s="596">
        <v>0</v>
      </c>
      <c r="K38" s="597">
        <v>0</v>
      </c>
      <c r="L38" s="598">
        <v>16</v>
      </c>
      <c r="M38" s="595">
        <v>0</v>
      </c>
      <c r="N38" s="596">
        <v>0</v>
      </c>
      <c r="O38" s="596">
        <v>0</v>
      </c>
      <c r="P38" s="596">
        <v>2</v>
      </c>
      <c r="Q38" s="596">
        <v>11</v>
      </c>
      <c r="R38" s="597">
        <v>0</v>
      </c>
      <c r="S38" s="597">
        <v>5</v>
      </c>
      <c r="T38" s="599">
        <v>0</v>
      </c>
      <c r="U38" s="600">
        <f>SUM(C38:T38)</f>
        <v>1186</v>
      </c>
      <c r="Y38" s="865"/>
    </row>
    <row r="39" spans="1:25" ht="15.75" thickTop="1" x14ac:dyDescent="0.25"/>
    <row r="41" spans="1:25" x14ac:dyDescent="0.25">
      <c r="B41" s="40" t="s">
        <v>164</v>
      </c>
      <c r="L41" s="40" t="s">
        <v>165</v>
      </c>
      <c r="S41" s="40"/>
    </row>
    <row r="42" spans="1:25" x14ac:dyDescent="0.25">
      <c r="B42" s="40" t="s">
        <v>6</v>
      </c>
      <c r="C42" s="40" t="s">
        <v>8</v>
      </c>
      <c r="D42" s="40" t="s">
        <v>4</v>
      </c>
      <c r="E42" s="40" t="s">
        <v>382</v>
      </c>
      <c r="F42" s="40" t="s">
        <v>2</v>
      </c>
      <c r="G42" s="40" t="s">
        <v>421</v>
      </c>
      <c r="H42" s="40" t="s">
        <v>404</v>
      </c>
      <c r="I42" s="40" t="s">
        <v>407</v>
      </c>
      <c r="J42" s="40" t="s">
        <v>406</v>
      </c>
      <c r="L42" s="40" t="s">
        <v>8</v>
      </c>
      <c r="M42" s="40" t="s">
        <v>6</v>
      </c>
      <c r="N42" s="40" t="s">
        <v>7</v>
      </c>
      <c r="O42" s="40" t="s">
        <v>4</v>
      </c>
      <c r="P42" s="40" t="s">
        <v>5</v>
      </c>
      <c r="Q42" s="40" t="s">
        <v>3</v>
      </c>
      <c r="R42" s="40" t="s">
        <v>2</v>
      </c>
      <c r="S42" s="40" t="s">
        <v>9</v>
      </c>
      <c r="T42" s="9" t="s">
        <v>382</v>
      </c>
    </row>
    <row r="43" spans="1:25" x14ac:dyDescent="0.25">
      <c r="B43" s="40" t="s">
        <v>35</v>
      </c>
      <c r="C43" s="40">
        <v>881</v>
      </c>
      <c r="D43" s="40">
        <v>168</v>
      </c>
      <c r="E43" s="40">
        <v>116</v>
      </c>
      <c r="F43" s="40">
        <v>127</v>
      </c>
      <c r="G43" s="40">
        <v>3</v>
      </c>
      <c r="I43" s="40">
        <v>0</v>
      </c>
      <c r="K43" s="40" t="s">
        <v>35</v>
      </c>
      <c r="L43" s="40">
        <v>34</v>
      </c>
      <c r="N43" s="40">
        <v>0</v>
      </c>
      <c r="O43" s="40">
        <v>7</v>
      </c>
      <c r="P43" s="40">
        <v>4</v>
      </c>
      <c r="Q43" s="40">
        <v>11</v>
      </c>
      <c r="S43" s="9">
        <v>7</v>
      </c>
      <c r="T43" s="9">
        <v>0</v>
      </c>
    </row>
    <row r="44" spans="1:25" x14ac:dyDescent="0.25">
      <c r="B44" s="40" t="s">
        <v>444</v>
      </c>
      <c r="C44" s="40">
        <v>14</v>
      </c>
      <c r="D44" s="40">
        <v>8</v>
      </c>
      <c r="E44" s="40">
        <v>14</v>
      </c>
      <c r="F44" s="40">
        <v>12</v>
      </c>
      <c r="G44" s="40">
        <v>0</v>
      </c>
      <c r="H44" s="40">
        <v>0</v>
      </c>
      <c r="I44" s="40">
        <v>0</v>
      </c>
      <c r="J44" s="40">
        <v>0</v>
      </c>
      <c r="K44" s="40" t="s">
        <v>444</v>
      </c>
      <c r="L44" s="40">
        <v>19</v>
      </c>
      <c r="M44" s="40">
        <v>0</v>
      </c>
      <c r="N44" s="40">
        <v>0</v>
      </c>
      <c r="O44" s="40">
        <v>7</v>
      </c>
      <c r="P44" s="40">
        <v>2</v>
      </c>
      <c r="S44" s="9">
        <v>2</v>
      </c>
    </row>
  </sheetData>
  <mergeCells count="7">
    <mergeCell ref="W23:W24"/>
    <mergeCell ref="X23:X24"/>
    <mergeCell ref="Y23:Y24"/>
    <mergeCell ref="A6:V6"/>
    <mergeCell ref="C12:R12"/>
    <mergeCell ref="C13:K13"/>
    <mergeCell ref="L13:T13"/>
  </mergeCells>
  <pageMargins left="0.7" right="0.7" top="0.75" bottom="0.75" header="0.3" footer="0.3"/>
  <pageSetup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CCC"/>
  </sheetPr>
  <dimension ref="A1:BA66"/>
  <sheetViews>
    <sheetView zoomScale="50" zoomScaleNormal="50" workbookViewId="0">
      <selection activeCell="A3" sqref="A3"/>
    </sheetView>
  </sheetViews>
  <sheetFormatPr baseColWidth="10" defaultRowHeight="15" x14ac:dyDescent="0.25"/>
  <cols>
    <col min="1" max="1" width="11.42578125" style="229"/>
    <col min="2" max="2" width="54.7109375" style="229" customWidth="1"/>
    <col min="3" max="8" width="7.42578125" style="229" bestFit="1" customWidth="1"/>
    <col min="9" max="10" width="7.7109375" style="229" bestFit="1" customWidth="1"/>
    <col min="11" max="11" width="12" style="229" customWidth="1"/>
    <col min="12" max="12" width="11.42578125" style="229"/>
    <col min="13" max="13" width="17.5703125" style="229" customWidth="1"/>
    <col min="14" max="14" width="41.5703125" style="229" customWidth="1"/>
    <col min="15" max="17" width="8.7109375" style="229" customWidth="1"/>
    <col min="18" max="22" width="8.140625" style="229" bestFit="1" customWidth="1"/>
    <col min="23" max="25" width="11.42578125" style="229"/>
    <col min="26" max="26" width="43.42578125" style="229" customWidth="1"/>
    <col min="27" max="31" width="8.140625" style="229" bestFit="1" customWidth="1"/>
    <col min="32" max="33" width="13.28515625" style="229" customWidth="1"/>
    <col min="34" max="34" width="11.42578125" style="229"/>
    <col min="35" max="35" width="46.7109375" style="229" customWidth="1"/>
    <col min="36" max="40" width="8.140625" style="229" bestFit="1" customWidth="1"/>
    <col min="41" max="42" width="9.28515625" style="229" customWidth="1"/>
    <col min="43" max="43" width="11.42578125" style="229"/>
    <col min="44" max="44" width="64.42578125" style="229" bestFit="1" customWidth="1"/>
    <col min="45" max="45" width="8.140625" style="229" bestFit="1" customWidth="1"/>
    <col min="46" max="46" width="7.7109375" style="229" bestFit="1" customWidth="1"/>
    <col min="47" max="51" width="8.140625" style="229" bestFit="1" customWidth="1"/>
    <col min="52" max="16384" width="11.42578125" style="229"/>
  </cols>
  <sheetData>
    <row r="1" spans="1:53" x14ac:dyDescent="0.25">
      <c r="A1" s="2" t="s">
        <v>15</v>
      </c>
    </row>
    <row r="2" spans="1:53" x14ac:dyDescent="0.25">
      <c r="A2" s="2" t="s">
        <v>16</v>
      </c>
    </row>
    <row r="3" spans="1:53" ht="18.75" x14ac:dyDescent="0.3">
      <c r="A3" s="2" t="s">
        <v>17</v>
      </c>
      <c r="L3" s="229" t="s">
        <v>411</v>
      </c>
      <c r="M3" s="531">
        <f>W16/K16</f>
        <v>0.82561162983098924</v>
      </c>
    </row>
    <row r="4" spans="1:53" ht="18.75" x14ac:dyDescent="0.3">
      <c r="A4" s="2" t="s">
        <v>18</v>
      </c>
      <c r="L4" s="229" t="s">
        <v>412</v>
      </c>
      <c r="M4" s="531">
        <f>AF16/K16</f>
        <v>6.6008746011109801E-2</v>
      </c>
    </row>
    <row r="5" spans="1:53" ht="19.5" thickBot="1" x14ac:dyDescent="0.35">
      <c r="L5" s="229" t="s">
        <v>413</v>
      </c>
      <c r="M5" s="531">
        <f>AO16/K16</f>
        <v>4.2548162155773553E-3</v>
      </c>
    </row>
    <row r="6" spans="1:53" ht="20.25" thickTop="1" thickBot="1" x14ac:dyDescent="0.35">
      <c r="B6" s="785" t="s">
        <v>258</v>
      </c>
      <c r="C6" s="786"/>
      <c r="D6" s="786"/>
      <c r="E6" s="786"/>
      <c r="F6" s="786"/>
      <c r="G6" s="786"/>
      <c r="H6" s="786"/>
      <c r="I6" s="786"/>
      <c r="J6" s="787"/>
      <c r="L6" s="229" t="s">
        <v>66</v>
      </c>
      <c r="M6" s="531">
        <f>AY16/K16</f>
        <v>0.10412480794232361</v>
      </c>
      <c r="N6" s="782" t="s">
        <v>330</v>
      </c>
      <c r="O6" s="783"/>
      <c r="P6" s="783"/>
      <c r="Q6" s="783"/>
      <c r="R6" s="783"/>
      <c r="S6" s="783"/>
      <c r="T6" s="783"/>
      <c r="U6" s="783"/>
      <c r="V6" s="783"/>
      <c r="W6" s="784"/>
      <c r="Z6" s="782" t="s">
        <v>331</v>
      </c>
      <c r="AA6" s="783"/>
      <c r="AB6" s="783"/>
      <c r="AC6" s="783"/>
      <c r="AD6" s="783"/>
      <c r="AE6" s="783"/>
      <c r="AF6" s="784"/>
      <c r="AI6" s="782" t="s">
        <v>332</v>
      </c>
      <c r="AJ6" s="783"/>
      <c r="AK6" s="783"/>
      <c r="AL6" s="783"/>
      <c r="AM6" s="783"/>
      <c r="AN6" s="783"/>
      <c r="AO6" s="784"/>
      <c r="AR6" s="782" t="s">
        <v>333</v>
      </c>
      <c r="AS6" s="783"/>
      <c r="AT6" s="783"/>
      <c r="AU6" s="783"/>
      <c r="AV6" s="783"/>
      <c r="AW6" s="783"/>
      <c r="AX6" s="783"/>
      <c r="AY6" s="784"/>
    </row>
    <row r="7" spans="1:53" ht="16.5" thickTop="1" thickBot="1" x14ac:dyDescent="0.3"/>
    <row r="8" spans="1:53" ht="16.5" thickTop="1" thickBot="1" x14ac:dyDescent="0.3">
      <c r="C8" s="148">
        <v>2011</v>
      </c>
      <c r="D8" s="148">
        <v>2012</v>
      </c>
      <c r="E8" s="148">
        <v>2013</v>
      </c>
      <c r="F8" s="148">
        <v>2014</v>
      </c>
      <c r="G8" s="148">
        <v>2015</v>
      </c>
      <c r="H8" s="148">
        <v>2016</v>
      </c>
      <c r="I8" s="148">
        <v>2017</v>
      </c>
      <c r="J8" s="149">
        <v>2018</v>
      </c>
      <c r="K8" s="173" t="s">
        <v>82</v>
      </c>
      <c r="O8" s="298">
        <v>2011</v>
      </c>
      <c r="P8" s="298">
        <v>2012</v>
      </c>
      <c r="Q8" s="298">
        <v>2013</v>
      </c>
      <c r="R8" s="298">
        <v>2014</v>
      </c>
      <c r="S8" s="298">
        <v>2015</v>
      </c>
      <c r="T8" s="298">
        <v>2016</v>
      </c>
      <c r="U8" s="298">
        <v>2017</v>
      </c>
      <c r="V8" s="299">
        <v>2018</v>
      </c>
      <c r="W8" s="300" t="s">
        <v>82</v>
      </c>
      <c r="AA8" s="298">
        <v>2014</v>
      </c>
      <c r="AB8" s="298">
        <v>2015</v>
      </c>
      <c r="AC8" s="298">
        <v>2016</v>
      </c>
      <c r="AD8" s="298">
        <v>2017</v>
      </c>
      <c r="AE8" s="299">
        <v>2018</v>
      </c>
      <c r="AF8" s="300" t="s">
        <v>82</v>
      </c>
      <c r="AJ8" s="639">
        <v>2014</v>
      </c>
      <c r="AK8" s="640">
        <v>2015</v>
      </c>
      <c r="AL8" s="640">
        <v>2016</v>
      </c>
      <c r="AM8" s="640">
        <v>2017</v>
      </c>
      <c r="AN8" s="641">
        <v>2018</v>
      </c>
      <c r="AO8" s="300" t="s">
        <v>82</v>
      </c>
      <c r="AS8" s="636">
        <v>2013</v>
      </c>
      <c r="AT8" s="298">
        <v>2014</v>
      </c>
      <c r="AU8" s="298">
        <v>2015</v>
      </c>
      <c r="AV8" s="298">
        <v>2016</v>
      </c>
      <c r="AW8" s="298">
        <v>2017</v>
      </c>
      <c r="AX8" s="299">
        <v>2018</v>
      </c>
      <c r="AY8" s="300" t="s">
        <v>82</v>
      </c>
    </row>
    <row r="9" spans="1:53" ht="15.75" thickTop="1" x14ac:dyDescent="0.25">
      <c r="B9" s="169" t="s">
        <v>235</v>
      </c>
      <c r="C9" s="267"/>
      <c r="D9" s="267"/>
      <c r="E9" s="165">
        <v>1</v>
      </c>
      <c r="F9" s="165">
        <v>1357</v>
      </c>
      <c r="G9" s="165">
        <v>2820</v>
      </c>
      <c r="H9" s="165">
        <v>4944</v>
      </c>
      <c r="I9" s="165">
        <v>8530</v>
      </c>
      <c r="J9" s="267"/>
      <c r="K9" s="176">
        <f>SUM(E9:J9)</f>
        <v>17652</v>
      </c>
      <c r="L9" s="861">
        <f>SUM(C9:F9)</f>
        <v>1358</v>
      </c>
      <c r="M9" s="862">
        <f t="shared" ref="M9:M17" si="0">L9/$L$9</f>
        <v>1</v>
      </c>
      <c r="N9" s="288" t="s">
        <v>235</v>
      </c>
      <c r="O9" s="267"/>
      <c r="P9" s="267"/>
      <c r="Q9" s="267"/>
      <c r="R9" s="291">
        <v>1165</v>
      </c>
      <c r="S9" s="291">
        <v>2512</v>
      </c>
      <c r="T9" s="291">
        <v>4325</v>
      </c>
      <c r="U9" s="291">
        <v>7078</v>
      </c>
      <c r="V9" s="267"/>
      <c r="W9" s="297">
        <v>15080</v>
      </c>
      <c r="X9" s="861">
        <f>SUM(O9:R9)</f>
        <v>1165</v>
      </c>
      <c r="Y9" s="862">
        <f>X9/$X$9</f>
        <v>1</v>
      </c>
      <c r="Z9" s="288" t="s">
        <v>235</v>
      </c>
      <c r="AA9" s="291">
        <v>127</v>
      </c>
      <c r="AB9" s="291">
        <v>159</v>
      </c>
      <c r="AC9" s="291">
        <v>235</v>
      </c>
      <c r="AD9" s="291">
        <v>526</v>
      </c>
      <c r="AE9" s="267"/>
      <c r="AF9" s="297">
        <v>1047</v>
      </c>
      <c r="AG9" s="861">
        <f>SUM(AA9)</f>
        <v>127</v>
      </c>
      <c r="AH9" s="862">
        <f>AG9/$X$9</f>
        <v>0.10901287553648069</v>
      </c>
      <c r="AI9" s="288" t="s">
        <v>235</v>
      </c>
      <c r="AJ9" s="642">
        <v>3</v>
      </c>
      <c r="AK9" s="291">
        <v>2</v>
      </c>
      <c r="AL9" s="291">
        <v>33</v>
      </c>
      <c r="AM9" s="291">
        <v>67</v>
      </c>
      <c r="AN9" s="637"/>
      <c r="AO9" s="297">
        <v>105</v>
      </c>
      <c r="AP9" s="861">
        <f>SUM(AJ9)</f>
        <v>3</v>
      </c>
      <c r="AQ9" s="862">
        <f>AP9/$X$9</f>
        <v>2.5751072961373391E-3</v>
      </c>
      <c r="AR9" s="288" t="s">
        <v>235</v>
      </c>
      <c r="AS9" s="638">
        <v>1</v>
      </c>
      <c r="AT9" s="291">
        <v>62</v>
      </c>
      <c r="AU9" s="291">
        <v>147</v>
      </c>
      <c r="AV9" s="291">
        <v>351</v>
      </c>
      <c r="AW9" s="291">
        <v>859</v>
      </c>
      <c r="AX9" s="637"/>
      <c r="AY9" s="297">
        <v>1420</v>
      </c>
      <c r="AZ9" s="861">
        <f>SUM(AS9:AT9)</f>
        <v>63</v>
      </c>
      <c r="BA9" s="862">
        <f>AZ9/$X$9</f>
        <v>5.4077253218884118E-2</v>
      </c>
    </row>
    <row r="10" spans="1:53" x14ac:dyDescent="0.25">
      <c r="B10" s="170" t="s">
        <v>211</v>
      </c>
      <c r="C10" s="267"/>
      <c r="D10" s="267"/>
      <c r="E10" s="165">
        <v>1</v>
      </c>
      <c r="F10" s="165">
        <v>1109</v>
      </c>
      <c r="G10" s="165">
        <v>1659</v>
      </c>
      <c r="H10" s="165">
        <v>2740</v>
      </c>
      <c r="I10" s="165">
        <v>4540</v>
      </c>
      <c r="J10" s="167">
        <v>2147</v>
      </c>
      <c r="K10" s="177">
        <v>12196</v>
      </c>
      <c r="L10" s="861">
        <f t="shared" ref="L10:L17" si="1">SUM(C10:F10)</f>
        <v>1110</v>
      </c>
      <c r="M10" s="862">
        <f t="shared" si="0"/>
        <v>0.81737849779086891</v>
      </c>
      <c r="N10" s="289" t="s">
        <v>211</v>
      </c>
      <c r="O10" s="267"/>
      <c r="P10" s="267"/>
      <c r="Q10" s="267"/>
      <c r="R10" s="291"/>
      <c r="S10" s="291"/>
      <c r="T10" s="291"/>
      <c r="U10" s="291"/>
      <c r="V10" s="292"/>
      <c r="W10" s="296"/>
      <c r="X10" s="861">
        <f t="shared" ref="X10:X17" si="2">SUM(O10:R10)</f>
        <v>0</v>
      </c>
      <c r="Y10" s="862">
        <f t="shared" ref="Y10:Y17" si="3">X10/$X$9</f>
        <v>0</v>
      </c>
      <c r="Z10" s="289" t="s">
        <v>211</v>
      </c>
      <c r="AA10" s="291"/>
      <c r="AB10" s="291"/>
      <c r="AC10" s="291"/>
      <c r="AD10" s="291"/>
      <c r="AE10" s="292"/>
      <c r="AF10" s="296"/>
      <c r="AG10" s="861">
        <f t="shared" ref="AG10:AG17" si="4">SUM(AA10)</f>
        <v>0</v>
      </c>
      <c r="AH10" s="862">
        <f t="shared" ref="AH10:AH17" si="5">AG10/$X$9</f>
        <v>0</v>
      </c>
      <c r="AI10" s="289" t="s">
        <v>211</v>
      </c>
      <c r="AJ10" s="643"/>
      <c r="AK10" s="291"/>
      <c r="AL10" s="291"/>
      <c r="AM10" s="291"/>
      <c r="AN10" s="292"/>
      <c r="AO10" s="296"/>
      <c r="AP10" s="861">
        <f t="shared" ref="AP10:AP17" si="6">SUM(AJ10)</f>
        <v>0</v>
      </c>
      <c r="AQ10" s="862">
        <f t="shared" ref="AQ10:AQ17" si="7">AP10/$X$9</f>
        <v>0</v>
      </c>
      <c r="AR10" s="289" t="s">
        <v>211</v>
      </c>
      <c r="AS10" s="289"/>
      <c r="AT10" s="291"/>
      <c r="AU10" s="291"/>
      <c r="AV10" s="291"/>
      <c r="AW10" s="291"/>
      <c r="AX10" s="292"/>
      <c r="AY10" s="296"/>
      <c r="AZ10" s="861">
        <f t="shared" ref="AZ10:AZ16" si="8">SUM(AS10:AT10)</f>
        <v>0</v>
      </c>
      <c r="BA10" s="862">
        <f t="shared" ref="BA10:BA17" si="9">AZ10/$X$9</f>
        <v>0</v>
      </c>
    </row>
    <row r="11" spans="1:53" x14ac:dyDescent="0.25">
      <c r="B11" s="170" t="s">
        <v>231</v>
      </c>
      <c r="C11" s="267"/>
      <c r="D11" s="267"/>
      <c r="E11" s="267"/>
      <c r="F11" s="165">
        <v>1088</v>
      </c>
      <c r="G11" s="165">
        <v>1995</v>
      </c>
      <c r="H11" s="165">
        <v>3897</v>
      </c>
      <c r="I11" s="165">
        <v>6515</v>
      </c>
      <c r="J11" s="167">
        <v>4882</v>
      </c>
      <c r="K11" s="177">
        <v>18377</v>
      </c>
      <c r="L11" s="861">
        <f t="shared" si="1"/>
        <v>1088</v>
      </c>
      <c r="M11" s="862">
        <f t="shared" si="0"/>
        <v>0.80117820324005895</v>
      </c>
      <c r="N11" s="289" t="s">
        <v>231</v>
      </c>
      <c r="O11" s="267"/>
      <c r="P11" s="267"/>
      <c r="Q11" s="267"/>
      <c r="R11" s="291"/>
      <c r="S11" s="291"/>
      <c r="T11" s="291"/>
      <c r="U11" s="291"/>
      <c r="V11" s="292"/>
      <c r="W11" s="296"/>
      <c r="X11" s="861">
        <f t="shared" si="2"/>
        <v>0</v>
      </c>
      <c r="Y11" s="862">
        <f t="shared" si="3"/>
        <v>0</v>
      </c>
      <c r="Z11" s="289" t="s">
        <v>231</v>
      </c>
      <c r="AA11" s="291"/>
      <c r="AB11" s="291"/>
      <c r="AC11" s="291"/>
      <c r="AD11" s="291"/>
      <c r="AE11" s="292"/>
      <c r="AF11" s="296"/>
      <c r="AG11" s="861">
        <f t="shared" si="4"/>
        <v>0</v>
      </c>
      <c r="AH11" s="862">
        <f t="shared" si="5"/>
        <v>0</v>
      </c>
      <c r="AI11" s="289" t="s">
        <v>231</v>
      </c>
      <c r="AJ11" s="643"/>
      <c r="AK11" s="291"/>
      <c r="AL11" s="291"/>
      <c r="AM11" s="291"/>
      <c r="AN11" s="292"/>
      <c r="AO11" s="296"/>
      <c r="AP11" s="861">
        <f t="shared" si="6"/>
        <v>0</v>
      </c>
      <c r="AQ11" s="862">
        <f t="shared" si="7"/>
        <v>0</v>
      </c>
      <c r="AR11" s="289" t="s">
        <v>231</v>
      </c>
      <c r="AS11" s="289"/>
      <c r="AT11" s="291"/>
      <c r="AU11" s="291"/>
      <c r="AV11" s="291"/>
      <c r="AW11" s="291"/>
      <c r="AX11" s="292"/>
      <c r="AY11" s="296"/>
      <c r="AZ11" s="861">
        <f t="shared" si="8"/>
        <v>0</v>
      </c>
      <c r="BA11" s="862">
        <f t="shared" si="9"/>
        <v>0</v>
      </c>
    </row>
    <row r="12" spans="1:53" x14ac:dyDescent="0.25">
      <c r="B12" s="170" t="s">
        <v>237</v>
      </c>
      <c r="C12" s="267"/>
      <c r="D12" s="267"/>
      <c r="E12" s="267"/>
      <c r="F12" s="165">
        <v>842</v>
      </c>
      <c r="G12" s="165">
        <v>1827</v>
      </c>
      <c r="H12" s="165">
        <v>3596</v>
      </c>
      <c r="I12" s="165">
        <v>6115</v>
      </c>
      <c r="J12" s="167">
        <v>5480</v>
      </c>
      <c r="K12" s="177">
        <v>17860</v>
      </c>
      <c r="L12" s="861">
        <f t="shared" si="1"/>
        <v>842</v>
      </c>
      <c r="M12" s="862">
        <f t="shared" si="0"/>
        <v>0.62002945508100149</v>
      </c>
      <c r="N12" s="289" t="s">
        <v>237</v>
      </c>
      <c r="O12" s="267"/>
      <c r="P12" s="267"/>
      <c r="Q12" s="267"/>
      <c r="R12" s="291"/>
      <c r="S12" s="291"/>
      <c r="T12" s="291"/>
      <c r="U12" s="291"/>
      <c r="V12" s="292"/>
      <c r="W12" s="296"/>
      <c r="X12" s="861">
        <f t="shared" si="2"/>
        <v>0</v>
      </c>
      <c r="Y12" s="862">
        <f t="shared" si="3"/>
        <v>0</v>
      </c>
      <c r="Z12" s="289" t="s">
        <v>237</v>
      </c>
      <c r="AA12" s="291"/>
      <c r="AB12" s="291"/>
      <c r="AC12" s="291"/>
      <c r="AD12" s="291"/>
      <c r="AE12" s="292"/>
      <c r="AF12" s="296"/>
      <c r="AG12" s="861">
        <f t="shared" si="4"/>
        <v>0</v>
      </c>
      <c r="AH12" s="862">
        <f t="shared" si="5"/>
        <v>0</v>
      </c>
      <c r="AI12" s="289" t="s">
        <v>237</v>
      </c>
      <c r="AJ12" s="643"/>
      <c r="AK12" s="291">
        <v>1</v>
      </c>
      <c r="AL12" s="291">
        <v>25</v>
      </c>
      <c r="AM12" s="291">
        <v>32</v>
      </c>
      <c r="AN12" s="292">
        <v>15</v>
      </c>
      <c r="AO12" s="296">
        <f t="shared" ref="AO12:AO13" si="10">SUM(AK12:AN12)</f>
        <v>73</v>
      </c>
      <c r="AP12" s="861">
        <f t="shared" si="6"/>
        <v>0</v>
      </c>
      <c r="AQ12" s="862">
        <f t="shared" si="7"/>
        <v>0</v>
      </c>
      <c r="AR12" s="289" t="s">
        <v>237</v>
      </c>
      <c r="AS12" s="289"/>
      <c r="AT12" s="291"/>
      <c r="AU12" s="291"/>
      <c r="AV12" s="291"/>
      <c r="AW12" s="291"/>
      <c r="AX12" s="292"/>
      <c r="AY12" s="296"/>
      <c r="AZ12" s="861">
        <f t="shared" si="8"/>
        <v>0</v>
      </c>
      <c r="BA12" s="862">
        <f t="shared" si="9"/>
        <v>0</v>
      </c>
    </row>
    <row r="13" spans="1:53" x14ac:dyDescent="0.25">
      <c r="B13" s="170" t="s">
        <v>238</v>
      </c>
      <c r="C13" s="267"/>
      <c r="D13" s="267"/>
      <c r="E13" s="267"/>
      <c r="F13" s="165">
        <v>501</v>
      </c>
      <c r="G13" s="165">
        <v>1720</v>
      </c>
      <c r="H13" s="165">
        <v>3401</v>
      </c>
      <c r="I13" s="165">
        <v>5671</v>
      </c>
      <c r="J13" s="167">
        <v>6073</v>
      </c>
      <c r="K13" s="177">
        <v>17366</v>
      </c>
      <c r="L13" s="861">
        <f t="shared" si="1"/>
        <v>501</v>
      </c>
      <c r="M13" s="862">
        <f t="shared" si="0"/>
        <v>0.36892488954344627</v>
      </c>
      <c r="N13" s="289" t="s">
        <v>238</v>
      </c>
      <c r="O13" s="267"/>
      <c r="P13" s="267"/>
      <c r="Q13" s="267"/>
      <c r="R13" s="291">
        <v>415</v>
      </c>
      <c r="S13" s="291">
        <v>1498</v>
      </c>
      <c r="T13" s="291">
        <v>2946</v>
      </c>
      <c r="U13" s="291">
        <v>4569</v>
      </c>
      <c r="V13" s="292">
        <v>4999</v>
      </c>
      <c r="W13" s="296">
        <v>14427</v>
      </c>
      <c r="X13" s="861">
        <f t="shared" si="2"/>
        <v>415</v>
      </c>
      <c r="Y13" s="862">
        <f t="shared" si="3"/>
        <v>0.35622317596566522</v>
      </c>
      <c r="Z13" s="289" t="s">
        <v>238</v>
      </c>
      <c r="AA13" s="291">
        <v>36</v>
      </c>
      <c r="AB13" s="291">
        <v>95</v>
      </c>
      <c r="AC13" s="291">
        <v>161</v>
      </c>
      <c r="AD13" s="291">
        <v>356</v>
      </c>
      <c r="AE13" s="292">
        <v>382</v>
      </c>
      <c r="AF13" s="296">
        <v>1030</v>
      </c>
      <c r="AG13" s="861">
        <f t="shared" si="4"/>
        <v>36</v>
      </c>
      <c r="AH13" s="862">
        <f t="shared" si="5"/>
        <v>3.0901287553648068E-2</v>
      </c>
      <c r="AI13" s="289" t="s">
        <v>238</v>
      </c>
      <c r="AJ13" s="643"/>
      <c r="AK13" s="291">
        <v>1</v>
      </c>
      <c r="AL13" s="291">
        <v>25</v>
      </c>
      <c r="AM13" s="291">
        <v>32</v>
      </c>
      <c r="AN13" s="292">
        <v>17</v>
      </c>
      <c r="AO13" s="296">
        <f t="shared" si="10"/>
        <v>75</v>
      </c>
      <c r="AP13" s="861">
        <f t="shared" si="6"/>
        <v>0</v>
      </c>
      <c r="AQ13" s="862">
        <f t="shared" si="7"/>
        <v>0</v>
      </c>
      <c r="AR13" s="289" t="s">
        <v>238</v>
      </c>
      <c r="AS13" s="289"/>
      <c r="AT13" s="291">
        <v>50</v>
      </c>
      <c r="AU13" s="291">
        <v>126</v>
      </c>
      <c r="AV13" s="291">
        <v>269</v>
      </c>
      <c r="AW13" s="291">
        <v>714</v>
      </c>
      <c r="AX13" s="292">
        <v>675</v>
      </c>
      <c r="AY13" s="296">
        <v>1834</v>
      </c>
      <c r="AZ13" s="861">
        <f t="shared" si="8"/>
        <v>50</v>
      </c>
      <c r="BA13" s="862">
        <f t="shared" si="9"/>
        <v>4.2918454935622317E-2</v>
      </c>
    </row>
    <row r="14" spans="1:53" x14ac:dyDescent="0.25">
      <c r="B14" s="170" t="s">
        <v>239</v>
      </c>
      <c r="C14" s="267"/>
      <c r="D14" s="267"/>
      <c r="E14" s="267"/>
      <c r="F14" s="165">
        <v>375</v>
      </c>
      <c r="G14" s="165">
        <v>1657</v>
      </c>
      <c r="H14" s="165">
        <v>3437</v>
      </c>
      <c r="I14" s="165">
        <v>5372</v>
      </c>
      <c r="J14" s="167">
        <v>6485</v>
      </c>
      <c r="K14" s="177">
        <v>17326</v>
      </c>
      <c r="L14" s="861">
        <f t="shared" si="1"/>
        <v>375</v>
      </c>
      <c r="M14" s="862">
        <f t="shared" si="0"/>
        <v>0.27614138438880709</v>
      </c>
      <c r="N14" s="289" t="s">
        <v>239</v>
      </c>
      <c r="O14" s="267"/>
      <c r="P14" s="267"/>
      <c r="Q14" s="267"/>
      <c r="R14" s="291">
        <v>315</v>
      </c>
      <c r="S14" s="291">
        <v>1438</v>
      </c>
      <c r="T14" s="291">
        <v>2984</v>
      </c>
      <c r="U14" s="291">
        <v>4311</v>
      </c>
      <c r="V14" s="292">
        <v>5368</v>
      </c>
      <c r="W14" s="296">
        <v>14416</v>
      </c>
      <c r="X14" s="861">
        <f t="shared" si="2"/>
        <v>315</v>
      </c>
      <c r="Y14" s="862">
        <f t="shared" si="3"/>
        <v>0.27038626609442062</v>
      </c>
      <c r="Z14" s="289" t="s">
        <v>239</v>
      </c>
      <c r="AA14" s="291">
        <v>15</v>
      </c>
      <c r="AB14" s="291">
        <v>93</v>
      </c>
      <c r="AC14" s="291">
        <v>160</v>
      </c>
      <c r="AD14" s="291">
        <v>353</v>
      </c>
      <c r="AE14" s="292">
        <v>417</v>
      </c>
      <c r="AF14" s="296">
        <v>1038</v>
      </c>
      <c r="AG14" s="861">
        <f t="shared" si="4"/>
        <v>15</v>
      </c>
      <c r="AH14" s="862">
        <f t="shared" si="5"/>
        <v>1.2875536480686695E-2</v>
      </c>
      <c r="AI14" s="289" t="s">
        <v>239</v>
      </c>
      <c r="AJ14" s="643"/>
      <c r="AK14" s="291">
        <v>0</v>
      </c>
      <c r="AL14" s="291">
        <v>25</v>
      </c>
      <c r="AM14" s="291">
        <v>32</v>
      </c>
      <c r="AN14" s="292">
        <v>17</v>
      </c>
      <c r="AO14" s="296">
        <f>SUM(AK14:AN14)</f>
        <v>74</v>
      </c>
      <c r="AP14" s="861">
        <f t="shared" si="6"/>
        <v>0</v>
      </c>
      <c r="AQ14" s="862">
        <f t="shared" si="7"/>
        <v>0</v>
      </c>
      <c r="AR14" s="289" t="s">
        <v>239</v>
      </c>
      <c r="AS14" s="289"/>
      <c r="AT14" s="291">
        <v>45</v>
      </c>
      <c r="AU14" s="291">
        <v>125</v>
      </c>
      <c r="AV14" s="291">
        <v>268</v>
      </c>
      <c r="AW14" s="291">
        <v>676</v>
      </c>
      <c r="AX14" s="292">
        <v>683</v>
      </c>
      <c r="AY14" s="296">
        <v>1797</v>
      </c>
      <c r="AZ14" s="861">
        <f t="shared" si="8"/>
        <v>45</v>
      </c>
      <c r="BA14" s="862">
        <f t="shared" si="9"/>
        <v>3.8626609442060089E-2</v>
      </c>
    </row>
    <row r="15" spans="1:53" x14ac:dyDescent="0.25">
      <c r="B15" s="170" t="s">
        <v>240</v>
      </c>
      <c r="C15" s="165">
        <v>1</v>
      </c>
      <c r="D15" s="165">
        <v>0</v>
      </c>
      <c r="E15" s="165">
        <v>0</v>
      </c>
      <c r="F15" s="165">
        <v>228</v>
      </c>
      <c r="G15" s="165">
        <v>1617</v>
      </c>
      <c r="H15" s="165">
        <v>3314</v>
      </c>
      <c r="I15" s="165">
        <v>4869</v>
      </c>
      <c r="J15" s="167">
        <v>7135</v>
      </c>
      <c r="K15" s="177">
        <f>SUM(C15:J15)</f>
        <v>17164</v>
      </c>
      <c r="L15" s="861">
        <f t="shared" si="1"/>
        <v>229</v>
      </c>
      <c r="M15" s="862">
        <f>L15/$L$9</f>
        <v>0.16863033873343153</v>
      </c>
      <c r="N15" s="289" t="s">
        <v>240</v>
      </c>
      <c r="O15" s="291">
        <v>1</v>
      </c>
      <c r="P15" s="291">
        <v>0</v>
      </c>
      <c r="Q15" s="291">
        <v>0</v>
      </c>
      <c r="R15" s="291">
        <v>172</v>
      </c>
      <c r="S15" s="291">
        <v>1401</v>
      </c>
      <c r="T15" s="291">
        <v>2865</v>
      </c>
      <c r="U15" s="291">
        <v>3849</v>
      </c>
      <c r="V15" s="292">
        <v>5880</v>
      </c>
      <c r="W15" s="296">
        <f>SUM(O15:V15)</f>
        <v>14168</v>
      </c>
      <c r="X15" s="861">
        <f t="shared" si="2"/>
        <v>173</v>
      </c>
      <c r="Y15" s="862">
        <f t="shared" si="3"/>
        <v>0.14849785407725322</v>
      </c>
      <c r="Z15" s="289" t="s">
        <v>240</v>
      </c>
      <c r="AA15" s="291">
        <v>13</v>
      </c>
      <c r="AB15" s="291">
        <v>92</v>
      </c>
      <c r="AC15" s="291">
        <v>160</v>
      </c>
      <c r="AD15" s="291">
        <v>347</v>
      </c>
      <c r="AE15" s="292">
        <v>498</v>
      </c>
      <c r="AF15" s="296">
        <f>SUM(AA15:AE15)</f>
        <v>1110</v>
      </c>
      <c r="AG15" s="861">
        <f t="shared" si="4"/>
        <v>13</v>
      </c>
      <c r="AH15" s="862">
        <f t="shared" si="5"/>
        <v>1.1158798283261802E-2</v>
      </c>
      <c r="AI15" s="289" t="s">
        <v>240</v>
      </c>
      <c r="AJ15" s="643"/>
      <c r="AK15" s="291">
        <v>1</v>
      </c>
      <c r="AL15" s="291">
        <v>25</v>
      </c>
      <c r="AM15" s="291">
        <v>32</v>
      </c>
      <c r="AN15" s="292">
        <v>17</v>
      </c>
      <c r="AO15" s="296">
        <f>SUM(AK15:AN15)</f>
        <v>75</v>
      </c>
      <c r="AP15" s="861">
        <f t="shared" si="6"/>
        <v>0</v>
      </c>
      <c r="AQ15" s="862">
        <f t="shared" si="7"/>
        <v>0</v>
      </c>
      <c r="AR15" s="289" t="s">
        <v>240</v>
      </c>
      <c r="AS15" s="289"/>
      <c r="AT15" s="291">
        <v>43</v>
      </c>
      <c r="AU15" s="291">
        <v>123</v>
      </c>
      <c r="AV15" s="291">
        <v>264</v>
      </c>
      <c r="AW15" s="291">
        <v>641</v>
      </c>
      <c r="AX15" s="292">
        <v>740</v>
      </c>
      <c r="AY15" s="296">
        <f>SUM(AT15:AX15)</f>
        <v>1811</v>
      </c>
      <c r="AZ15" s="861">
        <f t="shared" si="8"/>
        <v>43</v>
      </c>
      <c r="BA15" s="862">
        <f t="shared" si="9"/>
        <v>3.6909871244635191E-2</v>
      </c>
    </row>
    <row r="16" spans="1:53" x14ac:dyDescent="0.25">
      <c r="B16" s="170" t="s">
        <v>441</v>
      </c>
      <c r="C16" s="877">
        <v>1</v>
      </c>
      <c r="D16" s="877">
        <v>0</v>
      </c>
      <c r="E16" s="877">
        <v>0</v>
      </c>
      <c r="F16" s="877">
        <v>77</v>
      </c>
      <c r="G16" s="165">
        <v>1564</v>
      </c>
      <c r="H16" s="165">
        <v>3042</v>
      </c>
      <c r="I16" s="165">
        <v>4535</v>
      </c>
      <c r="J16" s="167">
        <v>7703</v>
      </c>
      <c r="K16" s="177">
        <v>16922</v>
      </c>
      <c r="L16" s="861">
        <f t="shared" si="1"/>
        <v>78</v>
      </c>
      <c r="M16" s="862">
        <f t="shared" si="0"/>
        <v>5.7437407952871868E-2</v>
      </c>
      <c r="N16" s="289" t="s">
        <v>441</v>
      </c>
      <c r="O16" s="877">
        <v>1</v>
      </c>
      <c r="P16" s="877">
        <v>0</v>
      </c>
      <c r="Q16" s="877">
        <v>0</v>
      </c>
      <c r="R16" s="877">
        <v>35</v>
      </c>
      <c r="S16" s="291">
        <v>1350</v>
      </c>
      <c r="T16" s="291">
        <v>2668</v>
      </c>
      <c r="U16" s="291">
        <v>3544</v>
      </c>
      <c r="V16" s="292">
        <v>6373</v>
      </c>
      <c r="W16" s="296">
        <v>13971</v>
      </c>
      <c r="X16" s="861">
        <f t="shared" si="2"/>
        <v>36</v>
      </c>
      <c r="Y16" s="862">
        <f t="shared" si="3"/>
        <v>3.0901287553648068E-2</v>
      </c>
      <c r="Z16" s="289" t="s">
        <v>441</v>
      </c>
      <c r="AA16" s="877">
        <v>12</v>
      </c>
      <c r="AB16" s="291">
        <v>92</v>
      </c>
      <c r="AC16" s="291">
        <v>103</v>
      </c>
      <c r="AD16" s="291">
        <v>347</v>
      </c>
      <c r="AE16" s="292">
        <v>563</v>
      </c>
      <c r="AF16" s="296">
        <v>1117</v>
      </c>
      <c r="AG16" s="861">
        <f t="shared" si="4"/>
        <v>12</v>
      </c>
      <c r="AH16" s="862">
        <f t="shared" si="5"/>
        <v>1.0300429184549357E-2</v>
      </c>
      <c r="AI16" s="289" t="s">
        <v>441</v>
      </c>
      <c r="AJ16" s="643"/>
      <c r="AK16" s="291">
        <v>1</v>
      </c>
      <c r="AL16" s="291">
        <v>22</v>
      </c>
      <c r="AM16" s="291">
        <v>32</v>
      </c>
      <c r="AN16" s="292">
        <v>17</v>
      </c>
      <c r="AO16" s="296">
        <v>72</v>
      </c>
      <c r="AP16" s="861">
        <f t="shared" si="6"/>
        <v>0</v>
      </c>
      <c r="AQ16" s="862">
        <f t="shared" si="7"/>
        <v>0</v>
      </c>
      <c r="AR16" s="289" t="s">
        <v>441</v>
      </c>
      <c r="AS16" s="878">
        <v>0</v>
      </c>
      <c r="AT16" s="877">
        <v>30</v>
      </c>
      <c r="AU16" s="291">
        <v>121</v>
      </c>
      <c r="AV16" s="291">
        <v>249</v>
      </c>
      <c r="AW16" s="291">
        <v>612</v>
      </c>
      <c r="AX16" s="292">
        <v>750</v>
      </c>
      <c r="AY16" s="296">
        <v>1762</v>
      </c>
      <c r="AZ16" s="861">
        <f t="shared" si="8"/>
        <v>30</v>
      </c>
      <c r="BA16" s="862">
        <f t="shared" si="9"/>
        <v>2.575107296137339E-2</v>
      </c>
    </row>
    <row r="17" spans="2:53" ht="15.75" thickBot="1" x14ac:dyDescent="0.3">
      <c r="B17" s="171" t="s">
        <v>241</v>
      </c>
      <c r="C17" s="166"/>
      <c r="D17" s="166"/>
      <c r="E17" s="166"/>
      <c r="F17" s="166"/>
      <c r="G17" s="166"/>
      <c r="H17" s="166"/>
      <c r="I17" s="166"/>
      <c r="J17" s="168"/>
      <c r="K17" s="172"/>
      <c r="L17" s="861">
        <f t="shared" si="1"/>
        <v>0</v>
      </c>
      <c r="M17" s="862">
        <f t="shared" si="0"/>
        <v>0</v>
      </c>
      <c r="N17" s="290" t="s">
        <v>241</v>
      </c>
      <c r="O17" s="293"/>
      <c r="P17" s="293"/>
      <c r="Q17" s="293"/>
      <c r="R17" s="293"/>
      <c r="S17" s="293"/>
      <c r="T17" s="293"/>
      <c r="U17" s="293"/>
      <c r="V17" s="294"/>
      <c r="W17" s="295"/>
      <c r="X17" s="861">
        <f t="shared" si="2"/>
        <v>0</v>
      </c>
      <c r="Y17" s="862">
        <f t="shared" si="3"/>
        <v>0</v>
      </c>
      <c r="Z17" s="290" t="s">
        <v>241</v>
      </c>
      <c r="AA17" s="293"/>
      <c r="AB17" s="293"/>
      <c r="AC17" s="293"/>
      <c r="AD17" s="293"/>
      <c r="AE17" s="294"/>
      <c r="AF17" s="295"/>
      <c r="AG17" s="861">
        <f t="shared" si="4"/>
        <v>0</v>
      </c>
      <c r="AH17" s="862">
        <f t="shared" si="5"/>
        <v>0</v>
      </c>
      <c r="AI17" s="290" t="s">
        <v>241</v>
      </c>
      <c r="AJ17" s="644"/>
      <c r="AK17" s="293"/>
      <c r="AL17" s="293"/>
      <c r="AM17" s="293"/>
      <c r="AN17" s="294"/>
      <c r="AO17" s="295"/>
      <c r="AP17" s="861">
        <f t="shared" si="6"/>
        <v>0</v>
      </c>
      <c r="AQ17" s="862">
        <f t="shared" si="7"/>
        <v>0</v>
      </c>
      <c r="AR17" s="290" t="s">
        <v>241</v>
      </c>
      <c r="AS17" s="290"/>
      <c r="AT17" s="293"/>
      <c r="AU17" s="293"/>
      <c r="AV17" s="293"/>
      <c r="AW17" s="293"/>
      <c r="AX17" s="294"/>
      <c r="AY17" s="295"/>
      <c r="AZ17" s="861">
        <f t="shared" ref="AZ17:AZ53" si="11">SUM(AT17)</f>
        <v>0</v>
      </c>
      <c r="BA17" s="862">
        <f t="shared" si="9"/>
        <v>0</v>
      </c>
    </row>
    <row r="18" spans="2:53" ht="15.75" thickTop="1" x14ac:dyDescent="0.25">
      <c r="L18" s="534"/>
      <c r="X18" s="534"/>
      <c r="AG18" s="534"/>
      <c r="AZ18" s="534"/>
    </row>
    <row r="19" spans="2:53" ht="15.75" thickBot="1" x14ac:dyDescent="0.3">
      <c r="L19" s="534"/>
      <c r="X19" s="534"/>
      <c r="AG19" s="534"/>
      <c r="AZ19" s="534"/>
    </row>
    <row r="20" spans="2:53" ht="16.5" thickTop="1" thickBot="1" x14ac:dyDescent="0.3">
      <c r="C20" s="463">
        <v>2011</v>
      </c>
      <c r="D20" s="464">
        <v>2012</v>
      </c>
      <c r="E20" s="464">
        <v>2013</v>
      </c>
      <c r="F20" s="464">
        <v>2014</v>
      </c>
      <c r="G20" s="464">
        <v>2015</v>
      </c>
      <c r="H20" s="464">
        <v>2016</v>
      </c>
      <c r="I20" s="464">
        <v>2017</v>
      </c>
      <c r="J20" s="465">
        <v>2018</v>
      </c>
      <c r="K20" s="466" t="s">
        <v>378</v>
      </c>
      <c r="L20" s="534"/>
      <c r="N20" s="229" t="s">
        <v>192</v>
      </c>
      <c r="O20" s="471">
        <v>2011</v>
      </c>
      <c r="P20" s="472">
        <v>2012</v>
      </c>
      <c r="Q20" s="472">
        <v>2013</v>
      </c>
      <c r="R20" s="472">
        <v>2014</v>
      </c>
      <c r="S20" s="472">
        <v>2015</v>
      </c>
      <c r="T20" s="472">
        <v>2016</v>
      </c>
      <c r="U20" s="472">
        <v>2017</v>
      </c>
      <c r="V20" s="473">
        <v>2018</v>
      </c>
      <c r="W20" s="474" t="s">
        <v>378</v>
      </c>
      <c r="X20" s="534"/>
      <c r="AA20" s="471">
        <v>2014</v>
      </c>
      <c r="AB20" s="472">
        <v>2015</v>
      </c>
      <c r="AC20" s="472">
        <v>2016</v>
      </c>
      <c r="AD20" s="472">
        <v>2017</v>
      </c>
      <c r="AE20" s="473">
        <v>2018</v>
      </c>
      <c r="AF20" s="474" t="s">
        <v>378</v>
      </c>
      <c r="AG20" s="534"/>
      <c r="AJ20" s="471">
        <v>2014</v>
      </c>
      <c r="AK20" s="472">
        <v>2015</v>
      </c>
      <c r="AL20" s="472">
        <v>2016</v>
      </c>
      <c r="AM20" s="472">
        <v>2017</v>
      </c>
      <c r="AN20" s="491">
        <v>2018</v>
      </c>
      <c r="AO20" s="474" t="s">
        <v>378</v>
      </c>
      <c r="AR20" s="102"/>
      <c r="AS20" s="487">
        <v>2013</v>
      </c>
      <c r="AT20" s="488">
        <v>2014</v>
      </c>
      <c r="AU20" s="488">
        <v>2015</v>
      </c>
      <c r="AV20" s="488">
        <v>2016</v>
      </c>
      <c r="AW20" s="488">
        <v>2017</v>
      </c>
      <c r="AX20" s="489">
        <v>2018</v>
      </c>
      <c r="AY20" s="490" t="s">
        <v>378</v>
      </c>
      <c r="AZ20" s="534"/>
    </row>
    <row r="21" spans="2:53" ht="16.5" thickTop="1" thickBot="1" x14ac:dyDescent="0.3">
      <c r="B21" s="458" t="s">
        <v>193</v>
      </c>
      <c r="C21" s="456">
        <v>1</v>
      </c>
      <c r="D21" s="457"/>
      <c r="E21" s="457"/>
      <c r="F21" s="457">
        <v>172</v>
      </c>
      <c r="G21" s="457">
        <v>1401</v>
      </c>
      <c r="H21" s="457">
        <v>2865</v>
      </c>
      <c r="I21" s="457">
        <v>3849</v>
      </c>
      <c r="J21" s="459">
        <v>5880</v>
      </c>
      <c r="K21" s="458">
        <v>14168</v>
      </c>
      <c r="L21" s="534">
        <f t="shared" ref="L10:L42" si="12">SUM(C21:F21)</f>
        <v>173</v>
      </c>
      <c r="N21" s="467" t="s">
        <v>193</v>
      </c>
      <c r="O21" s="475">
        <v>1</v>
      </c>
      <c r="P21" s="469"/>
      <c r="Q21" s="469"/>
      <c r="R21" s="469">
        <v>172</v>
      </c>
      <c r="S21" s="469">
        <v>1401</v>
      </c>
      <c r="T21" s="469">
        <v>2865</v>
      </c>
      <c r="U21" s="469">
        <v>3849</v>
      </c>
      <c r="V21" s="470">
        <v>5880</v>
      </c>
      <c r="W21" s="467">
        <v>14168</v>
      </c>
      <c r="X21" s="534">
        <f t="shared" ref="X10:X45" si="13">SUM(O21:R21)</f>
        <v>173</v>
      </c>
      <c r="Z21" s="476" t="s">
        <v>214</v>
      </c>
      <c r="AA21" s="477">
        <v>13</v>
      </c>
      <c r="AB21" s="478">
        <v>92</v>
      </c>
      <c r="AC21" s="478">
        <v>160</v>
      </c>
      <c r="AD21" s="478">
        <v>347</v>
      </c>
      <c r="AE21" s="479">
        <v>498</v>
      </c>
      <c r="AF21" s="476">
        <v>1110</v>
      </c>
      <c r="AG21" s="534">
        <f t="shared" ref="AG10:AG27" si="14">SUM(AA21)</f>
        <v>13</v>
      </c>
      <c r="AI21" s="645" t="s">
        <v>216</v>
      </c>
      <c r="AJ21" s="646"/>
      <c r="AK21" s="478">
        <v>1</v>
      </c>
      <c r="AL21" s="478">
        <v>25</v>
      </c>
      <c r="AM21" s="478">
        <v>32</v>
      </c>
      <c r="AN21" s="481">
        <v>17</v>
      </c>
      <c r="AO21" s="476">
        <v>75</v>
      </c>
      <c r="AR21" s="632" t="s">
        <v>213</v>
      </c>
      <c r="AS21" s="468"/>
      <c r="AT21" s="469">
        <v>43</v>
      </c>
      <c r="AU21" s="469">
        <v>123</v>
      </c>
      <c r="AV21" s="469">
        <v>264</v>
      </c>
      <c r="AW21" s="469">
        <v>641</v>
      </c>
      <c r="AX21" s="482">
        <v>740</v>
      </c>
      <c r="AY21" s="486">
        <v>1811</v>
      </c>
      <c r="AZ21" s="534">
        <f t="shared" si="11"/>
        <v>43</v>
      </c>
    </row>
    <row r="22" spans="2:53" ht="16.5" thickTop="1" thickBot="1" x14ac:dyDescent="0.3">
      <c r="B22" s="331" t="s">
        <v>251</v>
      </c>
      <c r="C22" s="344">
        <v>1</v>
      </c>
      <c r="D22" s="345"/>
      <c r="E22" s="345"/>
      <c r="F22" s="345">
        <v>67</v>
      </c>
      <c r="G22" s="345">
        <v>433</v>
      </c>
      <c r="H22" s="345">
        <v>725</v>
      </c>
      <c r="I22" s="345">
        <v>1271</v>
      </c>
      <c r="J22" s="460">
        <v>1806</v>
      </c>
      <c r="K22" s="419">
        <v>4303</v>
      </c>
      <c r="L22" s="534">
        <f t="shared" si="12"/>
        <v>68</v>
      </c>
      <c r="N22" s="467" t="s">
        <v>194</v>
      </c>
      <c r="O22" s="475"/>
      <c r="P22" s="469"/>
      <c r="Q22" s="469"/>
      <c r="R22" s="469">
        <v>142</v>
      </c>
      <c r="S22" s="469">
        <v>1192</v>
      </c>
      <c r="T22" s="469">
        <v>2222</v>
      </c>
      <c r="U22" s="469">
        <v>2281</v>
      </c>
      <c r="V22" s="470">
        <v>2676</v>
      </c>
      <c r="W22" s="467">
        <v>8513</v>
      </c>
      <c r="X22" s="534">
        <f t="shared" si="13"/>
        <v>142</v>
      </c>
      <c r="Z22" s="467" t="s">
        <v>195</v>
      </c>
      <c r="AA22" s="475">
        <v>13</v>
      </c>
      <c r="AB22" s="469">
        <v>92</v>
      </c>
      <c r="AC22" s="469">
        <v>160</v>
      </c>
      <c r="AD22" s="469">
        <v>347</v>
      </c>
      <c r="AE22" s="470">
        <v>498</v>
      </c>
      <c r="AF22" s="467">
        <v>1110</v>
      </c>
      <c r="AG22" s="534">
        <f t="shared" si="14"/>
        <v>13</v>
      </c>
      <c r="AI22" s="632" t="s">
        <v>204</v>
      </c>
      <c r="AJ22" s="468"/>
      <c r="AK22" s="469">
        <v>1</v>
      </c>
      <c r="AL22" s="469">
        <v>25</v>
      </c>
      <c r="AM22" s="469">
        <v>31</v>
      </c>
      <c r="AN22" s="482">
        <v>17</v>
      </c>
      <c r="AO22" s="467">
        <v>74</v>
      </c>
      <c r="AR22" s="632" t="s">
        <v>250</v>
      </c>
      <c r="AS22" s="468"/>
      <c r="AT22" s="469">
        <v>1</v>
      </c>
      <c r="AU22" s="469">
        <v>64</v>
      </c>
      <c r="AV22" s="469">
        <v>127</v>
      </c>
      <c r="AW22" s="469">
        <v>414</v>
      </c>
      <c r="AX22" s="482">
        <v>390</v>
      </c>
      <c r="AY22" s="486">
        <v>996</v>
      </c>
      <c r="AZ22" s="534">
        <f t="shared" si="11"/>
        <v>1</v>
      </c>
    </row>
    <row r="23" spans="2:53" ht="16.5" thickTop="1" thickBot="1" x14ac:dyDescent="0.3">
      <c r="B23" s="331" t="s">
        <v>250</v>
      </c>
      <c r="C23" s="79"/>
      <c r="D23" s="337"/>
      <c r="E23" s="337"/>
      <c r="F23" s="337"/>
      <c r="G23" s="337">
        <v>281</v>
      </c>
      <c r="H23" s="337">
        <v>970</v>
      </c>
      <c r="I23" s="337">
        <v>1157</v>
      </c>
      <c r="J23" s="461">
        <v>1815</v>
      </c>
      <c r="K23" s="417">
        <v>4223</v>
      </c>
      <c r="L23" s="534">
        <f t="shared" si="12"/>
        <v>0</v>
      </c>
      <c r="N23" s="419" t="s">
        <v>250</v>
      </c>
      <c r="O23" s="425"/>
      <c r="P23" s="345"/>
      <c r="Q23" s="345"/>
      <c r="R23" s="345"/>
      <c r="S23" s="345">
        <v>274</v>
      </c>
      <c r="T23" s="345">
        <v>961</v>
      </c>
      <c r="U23" s="345">
        <v>1020</v>
      </c>
      <c r="V23" s="460">
        <v>1002</v>
      </c>
      <c r="W23" s="419">
        <v>3257</v>
      </c>
      <c r="X23" s="534">
        <f t="shared" si="13"/>
        <v>0</v>
      </c>
      <c r="Z23" s="419" t="s">
        <v>250</v>
      </c>
      <c r="AA23" s="425">
        <v>7</v>
      </c>
      <c r="AB23" s="345">
        <v>92</v>
      </c>
      <c r="AC23" s="345">
        <v>141</v>
      </c>
      <c r="AD23" s="345">
        <v>187</v>
      </c>
      <c r="AE23" s="460">
        <v>348</v>
      </c>
      <c r="AF23" s="419">
        <v>775</v>
      </c>
      <c r="AG23" s="534">
        <f t="shared" si="14"/>
        <v>7</v>
      </c>
      <c r="AI23" s="328" t="s">
        <v>251</v>
      </c>
      <c r="AJ23" s="647"/>
      <c r="AK23" s="397">
        <v>1</v>
      </c>
      <c r="AL23" s="397">
        <v>25</v>
      </c>
      <c r="AM23" s="397">
        <v>31</v>
      </c>
      <c r="AN23" s="480">
        <v>17</v>
      </c>
      <c r="AO23" s="331">
        <v>74</v>
      </c>
      <c r="AR23" s="633" t="s">
        <v>201</v>
      </c>
      <c r="AS23" s="344"/>
      <c r="AT23" s="345"/>
      <c r="AU23" s="345">
        <v>24</v>
      </c>
      <c r="AV23" s="345">
        <v>43</v>
      </c>
      <c r="AW23" s="345">
        <v>190</v>
      </c>
      <c r="AX23" s="346">
        <v>138</v>
      </c>
      <c r="AY23" s="483">
        <v>395</v>
      </c>
      <c r="AZ23" s="534">
        <f t="shared" si="11"/>
        <v>0</v>
      </c>
    </row>
    <row r="24" spans="2:53" ht="16.5" thickTop="1" thickBot="1" x14ac:dyDescent="0.3">
      <c r="B24" s="331" t="s">
        <v>252</v>
      </c>
      <c r="C24" s="79"/>
      <c r="D24" s="337"/>
      <c r="E24" s="337"/>
      <c r="F24" s="337">
        <v>18</v>
      </c>
      <c r="G24" s="337">
        <v>460</v>
      </c>
      <c r="H24" s="337">
        <v>588</v>
      </c>
      <c r="I24" s="337">
        <v>632</v>
      </c>
      <c r="J24" s="461">
        <v>732</v>
      </c>
      <c r="K24" s="417">
        <v>2430</v>
      </c>
      <c r="L24" s="534">
        <f t="shared" si="12"/>
        <v>18</v>
      </c>
      <c r="N24" s="417" t="s">
        <v>251</v>
      </c>
      <c r="O24" s="422"/>
      <c r="P24" s="337"/>
      <c r="Q24" s="337"/>
      <c r="R24" s="337">
        <v>43</v>
      </c>
      <c r="S24" s="337">
        <v>373</v>
      </c>
      <c r="T24" s="337">
        <v>458</v>
      </c>
      <c r="U24" s="337">
        <v>612</v>
      </c>
      <c r="V24" s="461">
        <v>917</v>
      </c>
      <c r="W24" s="417">
        <v>2403</v>
      </c>
      <c r="X24" s="534">
        <f t="shared" si="13"/>
        <v>43</v>
      </c>
      <c r="Z24" s="417" t="s">
        <v>252</v>
      </c>
      <c r="AA24" s="422">
        <v>6</v>
      </c>
      <c r="AB24" s="337"/>
      <c r="AC24" s="337">
        <v>19</v>
      </c>
      <c r="AD24" s="337">
        <v>160</v>
      </c>
      <c r="AE24" s="461">
        <v>128</v>
      </c>
      <c r="AF24" s="417">
        <v>313</v>
      </c>
      <c r="AG24" s="534">
        <f t="shared" si="14"/>
        <v>6</v>
      </c>
      <c r="AI24" s="632" t="s">
        <v>210</v>
      </c>
      <c r="AJ24" s="468"/>
      <c r="AK24" s="469"/>
      <c r="AL24" s="469"/>
      <c r="AM24" s="469">
        <v>1</v>
      </c>
      <c r="AN24" s="482"/>
      <c r="AO24" s="467">
        <v>1</v>
      </c>
      <c r="AR24" s="634" t="s">
        <v>198</v>
      </c>
      <c r="AS24" s="79"/>
      <c r="AT24" s="337">
        <v>1</v>
      </c>
      <c r="AU24" s="337">
        <v>36</v>
      </c>
      <c r="AV24" s="337">
        <v>26</v>
      </c>
      <c r="AW24" s="337">
        <v>145</v>
      </c>
      <c r="AX24" s="338">
        <v>125</v>
      </c>
      <c r="AY24" s="484">
        <v>333</v>
      </c>
      <c r="AZ24" s="534">
        <f t="shared" si="11"/>
        <v>1</v>
      </c>
    </row>
    <row r="25" spans="2:53" ht="16.5" thickTop="1" thickBot="1" x14ac:dyDescent="0.3">
      <c r="B25" s="331" t="s">
        <v>253</v>
      </c>
      <c r="C25" s="79"/>
      <c r="D25" s="337"/>
      <c r="E25" s="337"/>
      <c r="F25" s="337">
        <v>86</v>
      </c>
      <c r="G25" s="337">
        <v>186</v>
      </c>
      <c r="H25" s="337">
        <v>389</v>
      </c>
      <c r="I25" s="337">
        <v>438</v>
      </c>
      <c r="J25" s="461">
        <v>835</v>
      </c>
      <c r="K25" s="417">
        <v>1934</v>
      </c>
      <c r="L25" s="534">
        <f t="shared" si="12"/>
        <v>86</v>
      </c>
      <c r="N25" s="417" t="s">
        <v>252</v>
      </c>
      <c r="O25" s="422"/>
      <c r="P25" s="337"/>
      <c r="Q25" s="337"/>
      <c r="R25" s="337">
        <v>14</v>
      </c>
      <c r="S25" s="337">
        <v>376</v>
      </c>
      <c r="T25" s="337">
        <v>432</v>
      </c>
      <c r="U25" s="337">
        <v>391</v>
      </c>
      <c r="V25" s="461">
        <v>356</v>
      </c>
      <c r="W25" s="417">
        <v>1569</v>
      </c>
      <c r="X25" s="534">
        <f t="shared" si="13"/>
        <v>14</v>
      </c>
      <c r="Z25" s="418" t="s">
        <v>251</v>
      </c>
      <c r="AA25" s="423"/>
      <c r="AB25" s="340"/>
      <c r="AC25" s="340"/>
      <c r="AD25" s="340"/>
      <c r="AE25" s="462">
        <v>22</v>
      </c>
      <c r="AF25" s="418">
        <v>22</v>
      </c>
      <c r="AG25" s="534">
        <f t="shared" si="14"/>
        <v>0</v>
      </c>
      <c r="AI25" s="328" t="s">
        <v>250</v>
      </c>
      <c r="AJ25" s="647"/>
      <c r="AK25" s="397"/>
      <c r="AL25" s="397"/>
      <c r="AM25" s="397">
        <v>1</v>
      </c>
      <c r="AN25" s="480"/>
      <c r="AO25" s="331">
        <v>1</v>
      </c>
      <c r="AR25" s="634" t="s">
        <v>209</v>
      </c>
      <c r="AS25" s="79"/>
      <c r="AT25" s="337"/>
      <c r="AU25" s="337"/>
      <c r="AV25" s="337">
        <v>22</v>
      </c>
      <c r="AW25" s="337">
        <v>30</v>
      </c>
      <c r="AX25" s="338">
        <v>18</v>
      </c>
      <c r="AY25" s="484">
        <v>70</v>
      </c>
      <c r="AZ25" s="534">
        <f t="shared" si="11"/>
        <v>0</v>
      </c>
    </row>
    <row r="26" spans="2:53" ht="16.5" thickTop="1" thickBot="1" x14ac:dyDescent="0.3">
      <c r="B26" s="331" t="s">
        <v>254</v>
      </c>
      <c r="C26" s="79"/>
      <c r="D26" s="337"/>
      <c r="E26" s="337"/>
      <c r="F26" s="337">
        <v>1</v>
      </c>
      <c r="G26" s="337">
        <v>39</v>
      </c>
      <c r="H26" s="337">
        <v>172</v>
      </c>
      <c r="I26" s="337">
        <v>322</v>
      </c>
      <c r="J26" s="461">
        <v>519</v>
      </c>
      <c r="K26" s="417">
        <v>1053</v>
      </c>
      <c r="L26" s="534">
        <f t="shared" si="12"/>
        <v>1</v>
      </c>
      <c r="N26" s="417" t="s">
        <v>253</v>
      </c>
      <c r="O26" s="422"/>
      <c r="P26" s="337"/>
      <c r="Q26" s="337"/>
      <c r="R26" s="337">
        <v>85</v>
      </c>
      <c r="S26" s="337">
        <v>165</v>
      </c>
      <c r="T26" s="337">
        <v>357</v>
      </c>
      <c r="U26" s="337">
        <v>238</v>
      </c>
      <c r="V26" s="461">
        <v>311</v>
      </c>
      <c r="W26" s="417">
        <v>1156</v>
      </c>
      <c r="X26" s="534">
        <f t="shared" si="13"/>
        <v>85</v>
      </c>
      <c r="Z26" s="467" t="s">
        <v>74</v>
      </c>
      <c r="AA26" s="475">
        <v>13</v>
      </c>
      <c r="AB26" s="469">
        <v>92</v>
      </c>
      <c r="AC26" s="469">
        <v>160</v>
      </c>
      <c r="AD26" s="469">
        <v>347</v>
      </c>
      <c r="AE26" s="470">
        <v>498</v>
      </c>
      <c r="AF26" s="467">
        <v>1110</v>
      </c>
      <c r="AG26" s="534">
        <f t="shared" si="14"/>
        <v>13</v>
      </c>
      <c r="AI26" s="632" t="s">
        <v>74</v>
      </c>
      <c r="AJ26" s="468"/>
      <c r="AK26" s="469">
        <v>1</v>
      </c>
      <c r="AL26" s="469">
        <v>25</v>
      </c>
      <c r="AM26" s="469">
        <v>32</v>
      </c>
      <c r="AN26" s="482">
        <v>17</v>
      </c>
      <c r="AO26" s="467">
        <v>75</v>
      </c>
      <c r="AR26" s="634" t="s">
        <v>205</v>
      </c>
      <c r="AS26" s="79"/>
      <c r="AT26" s="337"/>
      <c r="AU26" s="337">
        <v>1</v>
      </c>
      <c r="AV26" s="337">
        <v>1</v>
      </c>
      <c r="AW26" s="337">
        <v>26</v>
      </c>
      <c r="AX26" s="338">
        <v>33</v>
      </c>
      <c r="AY26" s="484">
        <v>61</v>
      </c>
      <c r="AZ26" s="534">
        <f t="shared" si="11"/>
        <v>0</v>
      </c>
    </row>
    <row r="27" spans="2:53" ht="16.5" thickTop="1" thickBot="1" x14ac:dyDescent="0.3">
      <c r="B27" s="331" t="s">
        <v>255</v>
      </c>
      <c r="C27" s="79"/>
      <c r="D27" s="337"/>
      <c r="E27" s="337"/>
      <c r="F27" s="337"/>
      <c r="G27" s="337">
        <v>2</v>
      </c>
      <c r="H27" s="337">
        <v>20</v>
      </c>
      <c r="I27" s="337">
        <v>17</v>
      </c>
      <c r="J27" s="461">
        <v>168</v>
      </c>
      <c r="K27" s="417">
        <v>207</v>
      </c>
      <c r="L27" s="534">
        <f t="shared" si="12"/>
        <v>0</v>
      </c>
      <c r="N27" s="418" t="s">
        <v>254</v>
      </c>
      <c r="O27" s="423"/>
      <c r="P27" s="340"/>
      <c r="Q27" s="340"/>
      <c r="R27" s="340"/>
      <c r="S27" s="340">
        <v>4</v>
      </c>
      <c r="T27" s="340">
        <v>14</v>
      </c>
      <c r="U27" s="340">
        <v>20</v>
      </c>
      <c r="V27" s="462">
        <v>90</v>
      </c>
      <c r="W27" s="418">
        <v>128</v>
      </c>
      <c r="X27" s="534">
        <f t="shared" si="13"/>
        <v>0</v>
      </c>
      <c r="AG27" s="534">
        <f t="shared" si="14"/>
        <v>0</v>
      </c>
      <c r="AR27" s="634" t="s">
        <v>197</v>
      </c>
      <c r="AS27" s="79"/>
      <c r="AT27" s="337"/>
      <c r="AU27" s="337">
        <v>3</v>
      </c>
      <c r="AV27" s="337"/>
      <c r="AW27" s="337"/>
      <c r="AX27" s="338">
        <v>55</v>
      </c>
      <c r="AY27" s="484">
        <v>58</v>
      </c>
      <c r="AZ27" s="534">
        <f t="shared" si="11"/>
        <v>0</v>
      </c>
    </row>
    <row r="28" spans="2:53" ht="16.5" thickTop="1" thickBot="1" x14ac:dyDescent="0.3">
      <c r="B28" s="331" t="s">
        <v>256</v>
      </c>
      <c r="C28" s="79"/>
      <c r="D28" s="337"/>
      <c r="E28" s="337"/>
      <c r="F28" s="337"/>
      <c r="G28" s="337"/>
      <c r="H28" s="337"/>
      <c r="I28" s="337">
        <v>11</v>
      </c>
      <c r="J28" s="461"/>
      <c r="K28" s="417">
        <v>11</v>
      </c>
      <c r="L28" s="534">
        <f t="shared" si="12"/>
        <v>0</v>
      </c>
      <c r="N28" s="467" t="s">
        <v>212</v>
      </c>
      <c r="O28" s="475"/>
      <c r="P28" s="469"/>
      <c r="Q28" s="469"/>
      <c r="R28" s="469">
        <v>14</v>
      </c>
      <c r="S28" s="469">
        <v>58</v>
      </c>
      <c r="T28" s="469">
        <v>138</v>
      </c>
      <c r="U28" s="469">
        <v>884</v>
      </c>
      <c r="V28" s="470">
        <v>1980</v>
      </c>
      <c r="W28" s="467">
        <v>3074</v>
      </c>
      <c r="X28" s="534">
        <f t="shared" si="13"/>
        <v>14</v>
      </c>
      <c r="AR28" s="634" t="s">
        <v>196</v>
      </c>
      <c r="AS28" s="79"/>
      <c r="AT28" s="337"/>
      <c r="AU28" s="337"/>
      <c r="AV28" s="337"/>
      <c r="AW28" s="337">
        <v>22</v>
      </c>
      <c r="AX28" s="338">
        <v>21</v>
      </c>
      <c r="AY28" s="484">
        <v>43</v>
      </c>
      <c r="AZ28" s="534">
        <f t="shared" si="11"/>
        <v>0</v>
      </c>
    </row>
    <row r="29" spans="2:53" ht="19.5" customHeight="1" thickTop="1" thickBot="1" x14ac:dyDescent="0.3">
      <c r="B29" s="331" t="s">
        <v>352</v>
      </c>
      <c r="C29" s="339"/>
      <c r="D29" s="340"/>
      <c r="E29" s="340"/>
      <c r="F29" s="340"/>
      <c r="G29" s="340"/>
      <c r="H29" s="340">
        <v>1</v>
      </c>
      <c r="I29" s="340">
        <v>1</v>
      </c>
      <c r="J29" s="462">
        <v>5</v>
      </c>
      <c r="K29" s="418">
        <v>7</v>
      </c>
      <c r="L29" s="534">
        <f t="shared" si="12"/>
        <v>0</v>
      </c>
      <c r="N29" s="419" t="s">
        <v>251</v>
      </c>
      <c r="O29" s="425"/>
      <c r="P29" s="345"/>
      <c r="Q29" s="345"/>
      <c r="R29" s="345">
        <v>13</v>
      </c>
      <c r="S29" s="345">
        <v>11</v>
      </c>
      <c r="T29" s="345">
        <v>28</v>
      </c>
      <c r="U29" s="345">
        <v>322</v>
      </c>
      <c r="V29" s="460">
        <v>454</v>
      </c>
      <c r="W29" s="419">
        <v>828</v>
      </c>
      <c r="X29" s="534">
        <f t="shared" si="13"/>
        <v>13</v>
      </c>
      <c r="AR29" s="634" t="s">
        <v>202</v>
      </c>
      <c r="AS29" s="79"/>
      <c r="AT29" s="337"/>
      <c r="AU29" s="337"/>
      <c r="AV29" s="337">
        <v>28</v>
      </c>
      <c r="AW29" s="337"/>
      <c r="AX29" s="338"/>
      <c r="AY29" s="484">
        <v>28</v>
      </c>
      <c r="AZ29" s="534">
        <f t="shared" si="11"/>
        <v>0</v>
      </c>
    </row>
    <row r="30" spans="2:53" ht="16.5" thickTop="1" thickBot="1" x14ac:dyDescent="0.3">
      <c r="B30" s="467" t="s">
        <v>213</v>
      </c>
      <c r="C30" s="468"/>
      <c r="D30" s="469"/>
      <c r="E30" s="469"/>
      <c r="F30" s="469">
        <v>43</v>
      </c>
      <c r="G30" s="469">
        <v>123</v>
      </c>
      <c r="H30" s="469">
        <v>264</v>
      </c>
      <c r="I30" s="469">
        <v>641</v>
      </c>
      <c r="J30" s="470">
        <v>740</v>
      </c>
      <c r="K30" s="467">
        <v>1811</v>
      </c>
      <c r="L30" s="534">
        <f t="shared" si="12"/>
        <v>43</v>
      </c>
      <c r="N30" s="417" t="s">
        <v>250</v>
      </c>
      <c r="O30" s="422"/>
      <c r="P30" s="337"/>
      <c r="Q30" s="337"/>
      <c r="R30" s="337"/>
      <c r="S30" s="337">
        <v>5</v>
      </c>
      <c r="T30" s="337">
        <v>6</v>
      </c>
      <c r="U30" s="337">
        <v>110</v>
      </c>
      <c r="V30" s="461">
        <v>627</v>
      </c>
      <c r="W30" s="417">
        <v>748</v>
      </c>
      <c r="X30" s="534">
        <f t="shared" si="13"/>
        <v>0</v>
      </c>
      <c r="AR30" s="634" t="s">
        <v>199</v>
      </c>
      <c r="AS30" s="79"/>
      <c r="AT30" s="337"/>
      <c r="AU30" s="337"/>
      <c r="AV30" s="337">
        <v>7</v>
      </c>
      <c r="AW30" s="337"/>
      <c r="AX30" s="338"/>
      <c r="AY30" s="484">
        <v>7</v>
      </c>
      <c r="AZ30" s="534">
        <f t="shared" si="11"/>
        <v>0</v>
      </c>
    </row>
    <row r="31" spans="2:53" ht="16.5" thickTop="1" thickBot="1" x14ac:dyDescent="0.3">
      <c r="B31" s="331" t="s">
        <v>250</v>
      </c>
      <c r="C31" s="344"/>
      <c r="D31" s="345"/>
      <c r="E31" s="345"/>
      <c r="F31" s="345">
        <v>1</v>
      </c>
      <c r="G31" s="345">
        <v>64</v>
      </c>
      <c r="H31" s="345">
        <v>127</v>
      </c>
      <c r="I31" s="345">
        <v>414</v>
      </c>
      <c r="J31" s="460">
        <v>390</v>
      </c>
      <c r="K31" s="419">
        <v>996</v>
      </c>
      <c r="L31" s="534">
        <f t="shared" si="12"/>
        <v>1</v>
      </c>
      <c r="N31" s="417" t="s">
        <v>253</v>
      </c>
      <c r="O31" s="422"/>
      <c r="P31" s="337"/>
      <c r="Q31" s="337"/>
      <c r="R31" s="337">
        <v>1</v>
      </c>
      <c r="S31" s="337">
        <v>18</v>
      </c>
      <c r="T31" s="337">
        <v>25</v>
      </c>
      <c r="U31" s="337">
        <v>182</v>
      </c>
      <c r="V31" s="461">
        <v>467</v>
      </c>
      <c r="W31" s="417">
        <v>693</v>
      </c>
      <c r="X31" s="534">
        <f t="shared" si="13"/>
        <v>1</v>
      </c>
      <c r="AR31" s="635" t="s">
        <v>200</v>
      </c>
      <c r="AS31" s="339"/>
      <c r="AT31" s="340"/>
      <c r="AU31" s="340"/>
      <c r="AV31" s="340"/>
      <c r="AW31" s="340">
        <v>1</v>
      </c>
      <c r="AX31" s="341"/>
      <c r="AY31" s="485">
        <v>1</v>
      </c>
      <c r="AZ31" s="534">
        <f t="shared" si="11"/>
        <v>0</v>
      </c>
    </row>
    <row r="32" spans="2:53" ht="16.5" thickTop="1" thickBot="1" x14ac:dyDescent="0.3">
      <c r="B32" s="331" t="s">
        <v>251</v>
      </c>
      <c r="C32" s="79"/>
      <c r="D32" s="337"/>
      <c r="E32" s="337"/>
      <c r="F32" s="337">
        <v>33</v>
      </c>
      <c r="G32" s="337">
        <v>57</v>
      </c>
      <c r="H32" s="337">
        <v>136</v>
      </c>
      <c r="I32" s="337">
        <v>227</v>
      </c>
      <c r="J32" s="461">
        <v>350</v>
      </c>
      <c r="K32" s="417">
        <v>803</v>
      </c>
      <c r="L32" s="534">
        <f t="shared" si="12"/>
        <v>33</v>
      </c>
      <c r="N32" s="417" t="s">
        <v>254</v>
      </c>
      <c r="O32" s="422"/>
      <c r="P32" s="337"/>
      <c r="Q32" s="337"/>
      <c r="R32" s="337"/>
      <c r="S32" s="337">
        <v>13</v>
      </c>
      <c r="T32" s="337">
        <v>60</v>
      </c>
      <c r="U32" s="337">
        <v>142</v>
      </c>
      <c r="V32" s="461">
        <v>180</v>
      </c>
      <c r="W32" s="417">
        <v>395</v>
      </c>
      <c r="X32" s="534">
        <f t="shared" si="13"/>
        <v>0</v>
      </c>
      <c r="AR32" s="632" t="s">
        <v>251</v>
      </c>
      <c r="AS32" s="468"/>
      <c r="AT32" s="469">
        <v>33</v>
      </c>
      <c r="AU32" s="469">
        <v>57</v>
      </c>
      <c r="AV32" s="469">
        <v>136</v>
      </c>
      <c r="AW32" s="469">
        <v>227</v>
      </c>
      <c r="AX32" s="482">
        <v>350</v>
      </c>
      <c r="AY32" s="486">
        <v>803</v>
      </c>
      <c r="AZ32" s="534">
        <f t="shared" si="11"/>
        <v>33</v>
      </c>
    </row>
    <row r="33" spans="2:52" ht="15.75" thickTop="1" x14ac:dyDescent="0.25">
      <c r="B33" s="331" t="s">
        <v>252</v>
      </c>
      <c r="C33" s="79"/>
      <c r="D33" s="337"/>
      <c r="E33" s="337"/>
      <c r="F33" s="337">
        <v>3</v>
      </c>
      <c r="G33" s="337">
        <v>2</v>
      </c>
      <c r="H33" s="337">
        <v>1</v>
      </c>
      <c r="I33" s="337"/>
      <c r="J33" s="461"/>
      <c r="K33" s="417">
        <v>6</v>
      </c>
      <c r="L33" s="534">
        <f t="shared" si="12"/>
        <v>3</v>
      </c>
      <c r="N33" s="417" t="s">
        <v>252</v>
      </c>
      <c r="O33" s="422"/>
      <c r="P33" s="337"/>
      <c r="Q33" s="337"/>
      <c r="R33" s="337"/>
      <c r="S33" s="337">
        <v>9</v>
      </c>
      <c r="T33" s="337">
        <v>16</v>
      </c>
      <c r="U33" s="337">
        <v>105</v>
      </c>
      <c r="V33" s="461">
        <v>215</v>
      </c>
      <c r="W33" s="417">
        <v>345</v>
      </c>
      <c r="X33" s="534">
        <f t="shared" si="13"/>
        <v>0</v>
      </c>
      <c r="AR33" s="633" t="s">
        <v>196</v>
      </c>
      <c r="AS33" s="344"/>
      <c r="AT33" s="345">
        <v>20</v>
      </c>
      <c r="AU33" s="345">
        <v>13</v>
      </c>
      <c r="AV33" s="345">
        <v>19</v>
      </c>
      <c r="AW33" s="345">
        <v>58</v>
      </c>
      <c r="AX33" s="346">
        <v>141</v>
      </c>
      <c r="AY33" s="483">
        <v>251</v>
      </c>
      <c r="AZ33" s="534">
        <f t="shared" si="11"/>
        <v>20</v>
      </c>
    </row>
    <row r="34" spans="2:52" ht="15.75" thickBot="1" x14ac:dyDescent="0.3">
      <c r="B34" s="331" t="s">
        <v>254</v>
      </c>
      <c r="C34" s="339"/>
      <c r="D34" s="340"/>
      <c r="E34" s="340"/>
      <c r="F34" s="340">
        <v>6</v>
      </c>
      <c r="G34" s="340"/>
      <c r="H34" s="340"/>
      <c r="I34" s="340"/>
      <c r="J34" s="462"/>
      <c r="K34" s="418">
        <v>6</v>
      </c>
      <c r="L34" s="534">
        <f t="shared" si="12"/>
        <v>6</v>
      </c>
      <c r="N34" s="417" t="s">
        <v>255</v>
      </c>
      <c r="O34" s="422"/>
      <c r="P34" s="337"/>
      <c r="Q34" s="337"/>
      <c r="R34" s="337"/>
      <c r="S34" s="337">
        <v>2</v>
      </c>
      <c r="T34" s="337">
        <v>2</v>
      </c>
      <c r="U34" s="337">
        <v>12</v>
      </c>
      <c r="V34" s="461">
        <v>34</v>
      </c>
      <c r="W34" s="417">
        <v>50</v>
      </c>
      <c r="X34" s="534">
        <f t="shared" si="13"/>
        <v>0</v>
      </c>
      <c r="AR34" s="634" t="s">
        <v>198</v>
      </c>
      <c r="AS34" s="79"/>
      <c r="AT34" s="337">
        <v>1</v>
      </c>
      <c r="AU34" s="337">
        <v>17</v>
      </c>
      <c r="AV34" s="337">
        <v>20</v>
      </c>
      <c r="AW34" s="337">
        <v>41</v>
      </c>
      <c r="AX34" s="338">
        <v>29</v>
      </c>
      <c r="AY34" s="484">
        <v>108</v>
      </c>
      <c r="AZ34" s="534">
        <f t="shared" si="11"/>
        <v>1</v>
      </c>
    </row>
    <row r="35" spans="2:52" ht="16.5" thickTop="1" thickBot="1" x14ac:dyDescent="0.3">
      <c r="B35" s="467" t="s">
        <v>214</v>
      </c>
      <c r="C35" s="468"/>
      <c r="D35" s="469"/>
      <c r="E35" s="469"/>
      <c r="F35" s="469">
        <v>13</v>
      </c>
      <c r="G35" s="469">
        <v>92</v>
      </c>
      <c r="H35" s="469">
        <v>160</v>
      </c>
      <c r="I35" s="469">
        <v>347</v>
      </c>
      <c r="J35" s="470">
        <v>498</v>
      </c>
      <c r="K35" s="467">
        <v>1110</v>
      </c>
      <c r="L35" s="534">
        <f t="shared" si="12"/>
        <v>13</v>
      </c>
      <c r="N35" s="417" t="s">
        <v>256</v>
      </c>
      <c r="O35" s="422"/>
      <c r="P35" s="337"/>
      <c r="Q35" s="337"/>
      <c r="R35" s="337"/>
      <c r="S35" s="337"/>
      <c r="T35" s="337"/>
      <c r="U35" s="337">
        <v>11</v>
      </c>
      <c r="V35" s="461"/>
      <c r="W35" s="417">
        <v>11</v>
      </c>
      <c r="X35" s="534">
        <f t="shared" si="13"/>
        <v>0</v>
      </c>
      <c r="AR35" s="634" t="s">
        <v>201</v>
      </c>
      <c r="AS35" s="79"/>
      <c r="AT35" s="337"/>
      <c r="AU35" s="337">
        <v>8</v>
      </c>
      <c r="AV35" s="337">
        <v>30</v>
      </c>
      <c r="AW35" s="337">
        <v>59</v>
      </c>
      <c r="AX35" s="338">
        <v>10</v>
      </c>
      <c r="AY35" s="484">
        <v>107</v>
      </c>
      <c r="AZ35" s="534">
        <f t="shared" si="11"/>
        <v>0</v>
      </c>
    </row>
    <row r="36" spans="2:52" ht="16.5" thickTop="1" thickBot="1" x14ac:dyDescent="0.3">
      <c r="B36" s="331" t="s">
        <v>250</v>
      </c>
      <c r="C36" s="344"/>
      <c r="D36" s="345"/>
      <c r="E36" s="345"/>
      <c r="F36" s="345">
        <v>7</v>
      </c>
      <c r="G36" s="345">
        <v>92</v>
      </c>
      <c r="H36" s="345">
        <v>141</v>
      </c>
      <c r="I36" s="345">
        <v>187</v>
      </c>
      <c r="J36" s="460">
        <v>348</v>
      </c>
      <c r="K36" s="419">
        <v>775</v>
      </c>
      <c r="L36" s="534">
        <f t="shared" si="12"/>
        <v>7</v>
      </c>
      <c r="N36" s="418" t="s">
        <v>352</v>
      </c>
      <c r="O36" s="423"/>
      <c r="P36" s="340"/>
      <c r="Q36" s="340"/>
      <c r="R36" s="340"/>
      <c r="S36" s="340"/>
      <c r="T36" s="340">
        <v>1</v>
      </c>
      <c r="U36" s="340"/>
      <c r="V36" s="462">
        <v>3</v>
      </c>
      <c r="W36" s="418">
        <v>4</v>
      </c>
      <c r="X36" s="534">
        <f t="shared" si="13"/>
        <v>0</v>
      </c>
      <c r="AR36" s="634" t="s">
        <v>197</v>
      </c>
      <c r="AS36" s="79"/>
      <c r="AT36" s="337"/>
      <c r="AU36" s="337"/>
      <c r="AV36" s="337"/>
      <c r="AW36" s="337"/>
      <c r="AX36" s="338">
        <v>103</v>
      </c>
      <c r="AY36" s="484">
        <v>103</v>
      </c>
      <c r="AZ36" s="534">
        <f t="shared" si="11"/>
        <v>0</v>
      </c>
    </row>
    <row r="37" spans="2:52" ht="16.5" thickTop="1" thickBot="1" x14ac:dyDescent="0.3">
      <c r="B37" s="331" t="s">
        <v>252</v>
      </c>
      <c r="C37" s="79"/>
      <c r="D37" s="337"/>
      <c r="E37" s="337"/>
      <c r="F37" s="337">
        <v>6</v>
      </c>
      <c r="G37" s="337"/>
      <c r="H37" s="337">
        <v>19</v>
      </c>
      <c r="I37" s="337">
        <v>160</v>
      </c>
      <c r="J37" s="461">
        <v>128</v>
      </c>
      <c r="K37" s="417">
        <v>313</v>
      </c>
      <c r="L37" s="534">
        <f t="shared" si="12"/>
        <v>6</v>
      </c>
      <c r="N37" s="467" t="s">
        <v>215</v>
      </c>
      <c r="O37" s="475">
        <v>1</v>
      </c>
      <c r="P37" s="469"/>
      <c r="Q37" s="469"/>
      <c r="R37" s="469">
        <v>16</v>
      </c>
      <c r="S37" s="469">
        <v>151</v>
      </c>
      <c r="T37" s="469">
        <v>505</v>
      </c>
      <c r="U37" s="469">
        <v>684</v>
      </c>
      <c r="V37" s="470">
        <v>1224</v>
      </c>
      <c r="W37" s="467">
        <v>2581</v>
      </c>
      <c r="X37" s="534">
        <f t="shared" si="13"/>
        <v>17</v>
      </c>
      <c r="AR37" s="634" t="s">
        <v>200</v>
      </c>
      <c r="AS37" s="79"/>
      <c r="AT37" s="337"/>
      <c r="AU37" s="337"/>
      <c r="AV37" s="337">
        <v>13</v>
      </c>
      <c r="AW37" s="337">
        <v>15</v>
      </c>
      <c r="AX37" s="338">
        <v>37</v>
      </c>
      <c r="AY37" s="484">
        <v>65</v>
      </c>
      <c r="AZ37" s="534">
        <f t="shared" si="11"/>
        <v>0</v>
      </c>
    </row>
    <row r="38" spans="2:52" ht="16.5" thickTop="1" thickBot="1" x14ac:dyDescent="0.3">
      <c r="B38" s="331" t="s">
        <v>251</v>
      </c>
      <c r="C38" s="339"/>
      <c r="D38" s="340"/>
      <c r="E38" s="340"/>
      <c r="F38" s="340"/>
      <c r="G38" s="340"/>
      <c r="H38" s="340"/>
      <c r="I38" s="340"/>
      <c r="J38" s="462">
        <v>22</v>
      </c>
      <c r="K38" s="418">
        <v>22</v>
      </c>
      <c r="L38" s="534">
        <f t="shared" si="12"/>
        <v>0</v>
      </c>
      <c r="N38" s="419" t="s">
        <v>251</v>
      </c>
      <c r="O38" s="425">
        <v>1</v>
      </c>
      <c r="P38" s="345"/>
      <c r="Q38" s="345"/>
      <c r="R38" s="345">
        <v>11</v>
      </c>
      <c r="S38" s="345">
        <v>49</v>
      </c>
      <c r="T38" s="345">
        <v>239</v>
      </c>
      <c r="U38" s="345">
        <v>337</v>
      </c>
      <c r="V38" s="460">
        <v>435</v>
      </c>
      <c r="W38" s="419">
        <v>1072</v>
      </c>
      <c r="X38" s="534">
        <f t="shared" si="13"/>
        <v>12</v>
      </c>
      <c r="AR38" s="634" t="s">
        <v>205</v>
      </c>
      <c r="AS38" s="79"/>
      <c r="AT38" s="337"/>
      <c r="AU38" s="337">
        <v>5</v>
      </c>
      <c r="AV38" s="337">
        <v>29</v>
      </c>
      <c r="AW38" s="337">
        <v>21</v>
      </c>
      <c r="AX38" s="338">
        <v>1</v>
      </c>
      <c r="AY38" s="484">
        <v>56</v>
      </c>
      <c r="AZ38" s="534">
        <f t="shared" si="11"/>
        <v>0</v>
      </c>
    </row>
    <row r="39" spans="2:52" ht="16.5" thickTop="1" thickBot="1" x14ac:dyDescent="0.3">
      <c r="B39" s="467" t="s">
        <v>216</v>
      </c>
      <c r="C39" s="468"/>
      <c r="D39" s="469"/>
      <c r="E39" s="469"/>
      <c r="F39" s="469"/>
      <c r="G39" s="469">
        <v>1</v>
      </c>
      <c r="H39" s="469">
        <v>25</v>
      </c>
      <c r="I39" s="469">
        <v>32</v>
      </c>
      <c r="J39" s="470">
        <v>17</v>
      </c>
      <c r="K39" s="467">
        <v>75</v>
      </c>
      <c r="L39" s="534">
        <f t="shared" si="12"/>
        <v>0</v>
      </c>
      <c r="N39" s="417" t="s">
        <v>254</v>
      </c>
      <c r="O39" s="422"/>
      <c r="P39" s="337"/>
      <c r="Q39" s="337"/>
      <c r="R39" s="337">
        <v>1</v>
      </c>
      <c r="S39" s="337">
        <v>22</v>
      </c>
      <c r="T39" s="337">
        <v>98</v>
      </c>
      <c r="U39" s="337">
        <v>160</v>
      </c>
      <c r="V39" s="461">
        <v>249</v>
      </c>
      <c r="W39" s="417">
        <v>530</v>
      </c>
      <c r="X39" s="534">
        <f t="shared" si="13"/>
        <v>1</v>
      </c>
      <c r="AR39" s="634" t="s">
        <v>209</v>
      </c>
      <c r="AS39" s="79"/>
      <c r="AT39" s="337"/>
      <c r="AU39" s="337">
        <v>4</v>
      </c>
      <c r="AV39" s="337">
        <v>11</v>
      </c>
      <c r="AW39" s="337">
        <v>18</v>
      </c>
      <c r="AX39" s="338">
        <v>6</v>
      </c>
      <c r="AY39" s="484">
        <v>39</v>
      </c>
      <c r="AZ39" s="534">
        <f t="shared" si="11"/>
        <v>0</v>
      </c>
    </row>
    <row r="40" spans="2:52" ht="15.75" thickTop="1" x14ac:dyDescent="0.25">
      <c r="B40" s="331" t="s">
        <v>251</v>
      </c>
      <c r="C40" s="344"/>
      <c r="D40" s="345"/>
      <c r="E40" s="345"/>
      <c r="F40" s="345"/>
      <c r="G40" s="345">
        <v>1</v>
      </c>
      <c r="H40" s="345">
        <v>25</v>
      </c>
      <c r="I40" s="345">
        <v>31</v>
      </c>
      <c r="J40" s="460">
        <v>17</v>
      </c>
      <c r="K40" s="419">
        <v>74</v>
      </c>
      <c r="L40" s="534">
        <f t="shared" si="12"/>
        <v>0</v>
      </c>
      <c r="N40" s="417" t="s">
        <v>252</v>
      </c>
      <c r="O40" s="422"/>
      <c r="P40" s="337"/>
      <c r="Q40" s="337"/>
      <c r="R40" s="337">
        <v>4</v>
      </c>
      <c r="S40" s="337">
        <v>75</v>
      </c>
      <c r="T40" s="337">
        <v>140</v>
      </c>
      <c r="U40" s="337">
        <v>136</v>
      </c>
      <c r="V40" s="461">
        <v>161</v>
      </c>
      <c r="W40" s="417">
        <v>516</v>
      </c>
      <c r="X40" s="534">
        <f t="shared" si="13"/>
        <v>4</v>
      </c>
      <c r="AR40" s="634" t="s">
        <v>199</v>
      </c>
      <c r="AS40" s="79"/>
      <c r="AT40" s="337"/>
      <c r="AU40" s="337">
        <v>2</v>
      </c>
      <c r="AV40" s="337">
        <v>8</v>
      </c>
      <c r="AW40" s="337">
        <v>7</v>
      </c>
      <c r="AX40" s="338">
        <v>19</v>
      </c>
      <c r="AY40" s="484">
        <v>36</v>
      </c>
      <c r="AZ40" s="534">
        <f t="shared" si="11"/>
        <v>0</v>
      </c>
    </row>
    <row r="41" spans="2:52" ht="15.75" thickBot="1" x14ac:dyDescent="0.3">
      <c r="B41" s="331" t="s">
        <v>250</v>
      </c>
      <c r="C41" s="339"/>
      <c r="D41" s="340"/>
      <c r="E41" s="340"/>
      <c r="F41" s="340"/>
      <c r="G41" s="340"/>
      <c r="H41" s="340"/>
      <c r="I41" s="340">
        <v>1</v>
      </c>
      <c r="J41" s="462"/>
      <c r="K41" s="418">
        <v>1</v>
      </c>
      <c r="L41" s="534">
        <f t="shared" si="12"/>
        <v>0</v>
      </c>
      <c r="N41" s="417" t="s">
        <v>250</v>
      </c>
      <c r="O41" s="422"/>
      <c r="P41" s="337"/>
      <c r="Q41" s="337"/>
      <c r="R41" s="337"/>
      <c r="S41" s="337">
        <v>2</v>
      </c>
      <c r="T41" s="337">
        <v>3</v>
      </c>
      <c r="U41" s="337">
        <v>27</v>
      </c>
      <c r="V41" s="461">
        <v>186</v>
      </c>
      <c r="W41" s="417">
        <v>218</v>
      </c>
      <c r="X41" s="534">
        <f t="shared" si="13"/>
        <v>0</v>
      </c>
      <c r="AR41" s="634" t="s">
        <v>206</v>
      </c>
      <c r="AS41" s="79"/>
      <c r="AT41" s="337"/>
      <c r="AU41" s="337">
        <v>5</v>
      </c>
      <c r="AV41" s="337">
        <v>1</v>
      </c>
      <c r="AW41" s="337">
        <v>8</v>
      </c>
      <c r="AX41" s="338"/>
      <c r="AY41" s="484">
        <v>14</v>
      </c>
      <c r="AZ41" s="534">
        <f t="shared" si="11"/>
        <v>0</v>
      </c>
    </row>
    <row r="42" spans="2:52" ht="16.5" thickTop="1" thickBot="1" x14ac:dyDescent="0.3">
      <c r="B42" s="467" t="s">
        <v>378</v>
      </c>
      <c r="C42" s="468">
        <v>1</v>
      </c>
      <c r="D42" s="469"/>
      <c r="E42" s="469"/>
      <c r="F42" s="469">
        <v>228</v>
      </c>
      <c r="G42" s="469">
        <v>1617</v>
      </c>
      <c r="H42" s="469">
        <v>3314</v>
      </c>
      <c r="I42" s="469">
        <v>4869</v>
      </c>
      <c r="J42" s="470">
        <v>7135</v>
      </c>
      <c r="K42" s="467">
        <v>17164</v>
      </c>
      <c r="L42" s="534">
        <f t="shared" si="12"/>
        <v>229</v>
      </c>
      <c r="N42" s="417" t="s">
        <v>255</v>
      </c>
      <c r="O42" s="422"/>
      <c r="P42" s="337"/>
      <c r="Q42" s="337"/>
      <c r="R42" s="337"/>
      <c r="S42" s="337"/>
      <c r="T42" s="337">
        <v>18</v>
      </c>
      <c r="U42" s="337">
        <v>5</v>
      </c>
      <c r="V42" s="461">
        <v>134</v>
      </c>
      <c r="W42" s="417">
        <v>157</v>
      </c>
      <c r="X42" s="534">
        <f t="shared" si="13"/>
        <v>0</v>
      </c>
      <c r="AR42" s="634" t="s">
        <v>203</v>
      </c>
      <c r="AS42" s="79"/>
      <c r="AT42" s="337">
        <v>10</v>
      </c>
      <c r="AU42" s="337">
        <v>1</v>
      </c>
      <c r="AV42" s="337">
        <v>1</v>
      </c>
      <c r="AW42" s="337"/>
      <c r="AX42" s="338"/>
      <c r="AY42" s="484">
        <v>12</v>
      </c>
      <c r="AZ42" s="534">
        <f t="shared" si="11"/>
        <v>10</v>
      </c>
    </row>
    <row r="43" spans="2:52" ht="15.75" thickTop="1" x14ac:dyDescent="0.25">
      <c r="N43" s="417" t="s">
        <v>253</v>
      </c>
      <c r="O43" s="422"/>
      <c r="P43" s="337"/>
      <c r="Q43" s="337"/>
      <c r="R43" s="337"/>
      <c r="S43" s="337">
        <v>3</v>
      </c>
      <c r="T43" s="337">
        <v>7</v>
      </c>
      <c r="U43" s="337">
        <v>18</v>
      </c>
      <c r="V43" s="461">
        <v>57</v>
      </c>
      <c r="W43" s="417">
        <v>85</v>
      </c>
      <c r="X43" s="534">
        <f t="shared" si="13"/>
        <v>0</v>
      </c>
      <c r="AR43" s="634" t="s">
        <v>208</v>
      </c>
      <c r="AS43" s="79"/>
      <c r="AT43" s="337">
        <v>2</v>
      </c>
      <c r="AU43" s="337">
        <v>2</v>
      </c>
      <c r="AV43" s="337">
        <v>4</v>
      </c>
      <c r="AW43" s="337"/>
      <c r="AX43" s="338"/>
      <c r="AY43" s="484">
        <v>8</v>
      </c>
      <c r="AZ43" s="534">
        <f t="shared" si="11"/>
        <v>2</v>
      </c>
    </row>
    <row r="44" spans="2:52" ht="15.75" thickBot="1" x14ac:dyDescent="0.3">
      <c r="N44" s="418" t="s">
        <v>352</v>
      </c>
      <c r="O44" s="423"/>
      <c r="P44" s="340"/>
      <c r="Q44" s="340"/>
      <c r="R44" s="340"/>
      <c r="S44" s="340"/>
      <c r="T44" s="340"/>
      <c r="U44" s="340">
        <v>1</v>
      </c>
      <c r="V44" s="462">
        <v>2</v>
      </c>
      <c r="W44" s="418">
        <v>3</v>
      </c>
      <c r="X44" s="534">
        <f t="shared" si="13"/>
        <v>0</v>
      </c>
      <c r="AR44" s="635" t="s">
        <v>379</v>
      </c>
      <c r="AS44" s="339"/>
      <c r="AT44" s="340"/>
      <c r="AU44" s="340"/>
      <c r="AV44" s="340"/>
      <c r="AW44" s="340"/>
      <c r="AX44" s="341">
        <v>4</v>
      </c>
      <c r="AY44" s="485">
        <v>4</v>
      </c>
      <c r="AZ44" s="534">
        <f t="shared" si="11"/>
        <v>0</v>
      </c>
    </row>
    <row r="45" spans="2:52" ht="16.5" thickTop="1" thickBot="1" x14ac:dyDescent="0.3">
      <c r="N45" s="467" t="s">
        <v>74</v>
      </c>
      <c r="O45" s="475">
        <v>1</v>
      </c>
      <c r="P45" s="469"/>
      <c r="Q45" s="469"/>
      <c r="R45" s="469">
        <v>172</v>
      </c>
      <c r="S45" s="469">
        <v>1401</v>
      </c>
      <c r="T45" s="469">
        <v>2865</v>
      </c>
      <c r="U45" s="469">
        <v>3849</v>
      </c>
      <c r="V45" s="470">
        <v>5880</v>
      </c>
      <c r="W45" s="467">
        <v>14168</v>
      </c>
      <c r="X45" s="534">
        <f t="shared" si="13"/>
        <v>173</v>
      </c>
      <c r="AR45" s="632" t="s">
        <v>252</v>
      </c>
      <c r="AS45" s="468"/>
      <c r="AT45" s="469">
        <v>3</v>
      </c>
      <c r="AU45" s="469">
        <v>2</v>
      </c>
      <c r="AV45" s="469">
        <v>1</v>
      </c>
      <c r="AW45" s="469"/>
      <c r="AX45" s="482"/>
      <c r="AY45" s="486">
        <v>6</v>
      </c>
      <c r="AZ45" s="534">
        <f t="shared" si="11"/>
        <v>3</v>
      </c>
    </row>
    <row r="46" spans="2:52" ht="15.75" thickTop="1" x14ac:dyDescent="0.25">
      <c r="AR46" s="633" t="s">
        <v>202</v>
      </c>
      <c r="AS46" s="344"/>
      <c r="AT46" s="345">
        <v>2</v>
      </c>
      <c r="AU46" s="345">
        <v>2</v>
      </c>
      <c r="AV46" s="345"/>
      <c r="AW46" s="345"/>
      <c r="AX46" s="346"/>
      <c r="AY46" s="483">
        <v>4</v>
      </c>
      <c r="AZ46" s="534">
        <f t="shared" si="11"/>
        <v>2</v>
      </c>
    </row>
    <row r="47" spans="2:52" ht="15.75" thickBot="1" x14ac:dyDescent="0.3">
      <c r="AR47" s="635" t="s">
        <v>201</v>
      </c>
      <c r="AS47" s="339"/>
      <c r="AT47" s="340">
        <v>1</v>
      </c>
      <c r="AU47" s="340"/>
      <c r="AV47" s="340">
        <v>1</v>
      </c>
      <c r="AW47" s="340"/>
      <c r="AX47" s="341"/>
      <c r="AY47" s="485">
        <v>2</v>
      </c>
      <c r="AZ47" s="534">
        <f t="shared" si="11"/>
        <v>1</v>
      </c>
    </row>
    <row r="48" spans="2:52" ht="21" customHeight="1" thickTop="1" thickBot="1" x14ac:dyDescent="0.3">
      <c r="AR48" s="632" t="s">
        <v>254</v>
      </c>
      <c r="AS48" s="468"/>
      <c r="AT48" s="469">
        <v>6</v>
      </c>
      <c r="AU48" s="469"/>
      <c r="AV48" s="469"/>
      <c r="AW48" s="469"/>
      <c r="AX48" s="482"/>
      <c r="AY48" s="486">
        <v>6</v>
      </c>
      <c r="AZ48" s="534">
        <f t="shared" si="11"/>
        <v>6</v>
      </c>
    </row>
    <row r="49" spans="2:52" ht="15.75" thickTop="1" x14ac:dyDescent="0.25">
      <c r="AR49" s="633" t="s">
        <v>201</v>
      </c>
      <c r="AS49" s="344"/>
      <c r="AT49" s="345">
        <v>2</v>
      </c>
      <c r="AU49" s="345"/>
      <c r="AV49" s="345"/>
      <c r="AW49" s="345"/>
      <c r="AX49" s="346"/>
      <c r="AY49" s="483">
        <v>2</v>
      </c>
      <c r="AZ49" s="534">
        <f t="shared" si="11"/>
        <v>2</v>
      </c>
    </row>
    <row r="50" spans="2:52" ht="15.75" thickBot="1" x14ac:dyDescent="0.3">
      <c r="AR50" s="634" t="s">
        <v>198</v>
      </c>
      <c r="AS50" s="79"/>
      <c r="AT50" s="337">
        <v>2</v>
      </c>
      <c r="AU50" s="337"/>
      <c r="AV50" s="337"/>
      <c r="AW50" s="337"/>
      <c r="AX50" s="338"/>
      <c r="AY50" s="484">
        <v>2</v>
      </c>
      <c r="AZ50" s="534">
        <f t="shared" si="11"/>
        <v>2</v>
      </c>
    </row>
    <row r="51" spans="2:52" ht="20.25" thickTop="1" thickBot="1" x14ac:dyDescent="0.35">
      <c r="B51" s="785" t="s">
        <v>383</v>
      </c>
      <c r="C51" s="786"/>
      <c r="D51" s="786"/>
      <c r="E51" s="786"/>
      <c r="F51" s="786"/>
      <c r="G51" s="786"/>
      <c r="H51" s="786"/>
      <c r="I51" s="786"/>
      <c r="J51" s="787"/>
      <c r="AR51" s="634" t="s">
        <v>208</v>
      </c>
      <c r="AS51" s="79"/>
      <c r="AT51" s="337">
        <v>1</v>
      </c>
      <c r="AU51" s="337"/>
      <c r="AV51" s="337"/>
      <c r="AW51" s="337"/>
      <c r="AX51" s="338"/>
      <c r="AY51" s="484">
        <v>1</v>
      </c>
      <c r="AZ51" s="534">
        <f t="shared" si="11"/>
        <v>1</v>
      </c>
    </row>
    <row r="52" spans="2:52" ht="16.5" thickTop="1" thickBot="1" x14ac:dyDescent="0.3">
      <c r="AR52" s="635" t="s">
        <v>207</v>
      </c>
      <c r="AS52" s="339"/>
      <c r="AT52" s="340">
        <v>1</v>
      </c>
      <c r="AU52" s="340"/>
      <c r="AV52" s="340"/>
      <c r="AW52" s="340"/>
      <c r="AX52" s="341"/>
      <c r="AY52" s="485">
        <v>1</v>
      </c>
      <c r="AZ52" s="534">
        <f t="shared" si="11"/>
        <v>1</v>
      </c>
    </row>
    <row r="53" spans="2:52" ht="16.5" thickTop="1" thickBot="1" x14ac:dyDescent="0.3">
      <c r="AR53" s="632" t="s">
        <v>74</v>
      </c>
      <c r="AS53" s="468"/>
      <c r="AT53" s="469">
        <v>43</v>
      </c>
      <c r="AU53" s="469">
        <v>123</v>
      </c>
      <c r="AV53" s="469">
        <v>264</v>
      </c>
      <c r="AW53" s="469">
        <v>641</v>
      </c>
      <c r="AX53" s="482">
        <v>740</v>
      </c>
      <c r="AY53" s="486">
        <v>1811</v>
      </c>
      <c r="AZ53" s="534">
        <f t="shared" si="11"/>
        <v>43</v>
      </c>
    </row>
    <row r="54" spans="2:52" ht="15.75" thickTop="1" x14ac:dyDescent="0.25"/>
    <row r="55" spans="2:52" ht="15.75" thickBot="1" x14ac:dyDescent="0.3"/>
    <row r="56" spans="2:52" ht="16.5" thickTop="1" thickBot="1" x14ac:dyDescent="0.3">
      <c r="C56" s="471">
        <v>2011</v>
      </c>
      <c r="D56" s="472">
        <v>2012</v>
      </c>
      <c r="E56" s="472">
        <v>2013</v>
      </c>
      <c r="F56" s="472">
        <v>2014</v>
      </c>
      <c r="G56" s="472">
        <v>2015</v>
      </c>
      <c r="H56" s="472">
        <v>2016</v>
      </c>
      <c r="I56" s="472">
        <v>2017</v>
      </c>
      <c r="J56" s="472">
        <v>2018</v>
      </c>
      <c r="K56" s="491" t="s">
        <v>378</v>
      </c>
    </row>
    <row r="57" spans="2:52" ht="16.5" thickTop="1" thickBot="1" x14ac:dyDescent="0.3">
      <c r="B57" s="476" t="s">
        <v>193</v>
      </c>
      <c r="C57" s="477">
        <v>11</v>
      </c>
      <c r="D57" s="478">
        <v>356</v>
      </c>
      <c r="E57" s="478">
        <v>777</v>
      </c>
      <c r="F57" s="478">
        <v>605</v>
      </c>
      <c r="G57" s="478">
        <v>730</v>
      </c>
      <c r="H57" s="478">
        <v>771</v>
      </c>
      <c r="I57" s="478">
        <v>1165</v>
      </c>
      <c r="J57" s="478">
        <v>1510</v>
      </c>
      <c r="K57" s="481">
        <v>5925</v>
      </c>
    </row>
    <row r="58" spans="2:52" ht="16.5" thickTop="1" thickBot="1" x14ac:dyDescent="0.3">
      <c r="B58" s="467" t="s">
        <v>257</v>
      </c>
      <c r="C58" s="475">
        <v>11</v>
      </c>
      <c r="D58" s="469">
        <v>356</v>
      </c>
      <c r="E58" s="469">
        <v>777</v>
      </c>
      <c r="F58" s="469">
        <v>605</v>
      </c>
      <c r="G58" s="469">
        <v>730</v>
      </c>
      <c r="H58" s="469">
        <v>771</v>
      </c>
      <c r="I58" s="469">
        <v>1165</v>
      </c>
      <c r="J58" s="469">
        <v>1510</v>
      </c>
      <c r="K58" s="482">
        <v>5925</v>
      </c>
    </row>
    <row r="59" spans="2:52" ht="15.75" thickTop="1" x14ac:dyDescent="0.25">
      <c r="B59" s="419" t="s">
        <v>194</v>
      </c>
      <c r="C59" s="425"/>
      <c r="D59" s="345">
        <v>120</v>
      </c>
      <c r="E59" s="345">
        <v>483</v>
      </c>
      <c r="F59" s="345">
        <v>315</v>
      </c>
      <c r="G59" s="345">
        <v>397</v>
      </c>
      <c r="H59" s="345">
        <v>463</v>
      </c>
      <c r="I59" s="345">
        <v>682</v>
      </c>
      <c r="J59" s="345">
        <v>679</v>
      </c>
      <c r="K59" s="346">
        <v>3139</v>
      </c>
    </row>
    <row r="60" spans="2:52" x14ac:dyDescent="0.25">
      <c r="B60" s="417" t="s">
        <v>215</v>
      </c>
      <c r="C60" s="422">
        <v>11</v>
      </c>
      <c r="D60" s="337">
        <v>236</v>
      </c>
      <c r="E60" s="337">
        <v>294</v>
      </c>
      <c r="F60" s="337">
        <v>289</v>
      </c>
      <c r="G60" s="337">
        <v>305</v>
      </c>
      <c r="H60" s="337">
        <v>300</v>
      </c>
      <c r="I60" s="337">
        <v>284</v>
      </c>
      <c r="J60" s="337">
        <v>230</v>
      </c>
      <c r="K60" s="338">
        <v>1949</v>
      </c>
    </row>
    <row r="61" spans="2:52" ht="15.75" thickBot="1" x14ac:dyDescent="0.3">
      <c r="B61" s="418" t="s">
        <v>212</v>
      </c>
      <c r="C61" s="423"/>
      <c r="D61" s="340"/>
      <c r="E61" s="340"/>
      <c r="F61" s="340">
        <v>1</v>
      </c>
      <c r="G61" s="340">
        <v>28</v>
      </c>
      <c r="H61" s="340">
        <v>8</v>
      </c>
      <c r="I61" s="340">
        <v>199</v>
      </c>
      <c r="J61" s="340">
        <v>601</v>
      </c>
      <c r="K61" s="341">
        <v>837</v>
      </c>
    </row>
    <row r="62" spans="2:52" ht="16.5" thickTop="1" thickBot="1" x14ac:dyDescent="0.3">
      <c r="B62" s="467" t="s">
        <v>214</v>
      </c>
      <c r="C62" s="475"/>
      <c r="D62" s="469"/>
      <c r="E62" s="469"/>
      <c r="F62" s="469"/>
      <c r="G62" s="469">
        <v>26</v>
      </c>
      <c r="H62" s="469">
        <v>33</v>
      </c>
      <c r="I62" s="469">
        <v>76</v>
      </c>
      <c r="J62" s="469">
        <v>339</v>
      </c>
      <c r="K62" s="482">
        <v>474</v>
      </c>
    </row>
    <row r="63" spans="2:52" ht="16.5" thickTop="1" thickBot="1" x14ac:dyDescent="0.3">
      <c r="B63" s="467" t="s">
        <v>257</v>
      </c>
      <c r="C63" s="475"/>
      <c r="D63" s="469"/>
      <c r="E63" s="469"/>
      <c r="F63" s="469"/>
      <c r="G63" s="469">
        <v>26</v>
      </c>
      <c r="H63" s="469">
        <v>33</v>
      </c>
      <c r="I63" s="469">
        <v>76</v>
      </c>
      <c r="J63" s="469">
        <v>339</v>
      </c>
      <c r="K63" s="482">
        <v>474</v>
      </c>
    </row>
    <row r="64" spans="2:52" ht="16.5" thickTop="1" thickBot="1" x14ac:dyDescent="0.3">
      <c r="B64" s="331" t="s">
        <v>195</v>
      </c>
      <c r="C64" s="424"/>
      <c r="D64" s="397"/>
      <c r="E64" s="397"/>
      <c r="F64" s="397"/>
      <c r="G64" s="397">
        <v>26</v>
      </c>
      <c r="H64" s="397">
        <v>33</v>
      </c>
      <c r="I64" s="397">
        <v>76</v>
      </c>
      <c r="J64" s="397">
        <v>339</v>
      </c>
      <c r="K64" s="480">
        <v>474</v>
      </c>
    </row>
    <row r="65" spans="2:11" ht="16.5" thickTop="1" thickBot="1" x14ac:dyDescent="0.3">
      <c r="B65" s="467" t="s">
        <v>74</v>
      </c>
      <c r="C65" s="475">
        <v>11</v>
      </c>
      <c r="D65" s="469">
        <v>356</v>
      </c>
      <c r="E65" s="469">
        <v>777</v>
      </c>
      <c r="F65" s="469">
        <v>605</v>
      </c>
      <c r="G65" s="469">
        <v>756</v>
      </c>
      <c r="H65" s="469">
        <v>804</v>
      </c>
      <c r="I65" s="469">
        <v>1241</v>
      </c>
      <c r="J65" s="469">
        <v>1849</v>
      </c>
      <c r="K65" s="482">
        <v>6399</v>
      </c>
    </row>
    <row r="66" spans="2:11" ht="15.75" thickTop="1" x14ac:dyDescent="0.25"/>
  </sheetData>
  <mergeCells count="6">
    <mergeCell ref="AR6:AY6"/>
    <mergeCell ref="B51:J51"/>
    <mergeCell ref="B6:J6"/>
    <mergeCell ref="N6:W6"/>
    <mergeCell ref="Z6:AF6"/>
    <mergeCell ref="AI6:AO6"/>
  </mergeCells>
  <pageMargins left="0.7" right="0.7" top="0.75" bottom="0.75" header="0.3" footer="0.3"/>
  <ignoredErrors>
    <ignoredError sqref="X21:X45 L21:L4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Introduccion</vt:lpstr>
      <vt:lpstr>1</vt:lpstr>
      <vt:lpstr>1.1</vt:lpstr>
      <vt:lpstr>1.2</vt:lpstr>
      <vt:lpstr>3.1 COMGES</vt:lpstr>
      <vt:lpstr>3.1 TOTAL</vt:lpstr>
      <vt:lpstr>3.2 Comges y Compromiso MINSAL</vt:lpstr>
      <vt:lpstr>3.2 TOTAL</vt:lpstr>
      <vt:lpstr>3.3 COMGES</vt:lpstr>
      <vt:lpstr>3.3 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2018-11-14T13:44:31Z</cp:lastPrinted>
  <dcterms:created xsi:type="dcterms:W3CDTF">2018-05-23T13:10:06Z</dcterms:created>
  <dcterms:modified xsi:type="dcterms:W3CDTF">2018-12-17T15:55:47Z</dcterms:modified>
</cp:coreProperties>
</file>